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30" windowHeight="4275"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<sst xmlns="http://schemas.openxmlformats.org/spreadsheetml/2006/main" count="1130" uniqueCount="875">
  <si>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</si>
  <si>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</si>
  <si>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</si>
  <si>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</si>
  <si>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</si>
  <si>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</si>
  <si>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</si>
  <si>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</si>
  <si>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</si>
  <si>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</si>
  <si>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</si>
  <si>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</si>
  <si>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</si>
  <si>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</si>
  <si>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</si>
  <si>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</si>
  <si>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</si>
  <si>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</si>
  <si>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</si>
  <si>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</si>
  <si>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</si>
  <si>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Ver: 1.0.7.</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</si>
  <si>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</si>
  <si>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</si>
  <si>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</si>
  <si>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2007-06</t>
  </si>
  <si>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</si>
  <si>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</si>
  <si>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</si>
  <si>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</si>
  <si>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</si>
  <si>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NE</t>
  </si>
  <si>
    <t>03015904</t>
  </si>
  <si>
    <t>010000486</t>
  </si>
  <si>
    <t>PODRAVSKA BANKA d.d.</t>
  </si>
  <si>
    <t>KOPRIVNICA</t>
  </si>
  <si>
    <t>OPATIČKA 3</t>
  </si>
  <si>
    <t>048655115</t>
  </si>
  <si>
    <t>048622542</t>
  </si>
  <si>
    <t>www.poba.hr</t>
  </si>
  <si>
    <t>info@poba.hr</t>
  </si>
  <si>
    <t>65121</t>
  </si>
  <si>
    <t>2386002-1000010160</t>
  </si>
  <si>
    <t>POSLOVNO BANKARSTVO</t>
  </si>
  <si>
    <t>HRVATSKA NARODNA BANKA</t>
  </si>
  <si>
    <t>JULIO KURUC</t>
  </si>
  <si>
    <t>MARIJAN MARUŠIĆ</t>
  </si>
  <si>
    <t>DAVORKA JAKIR</t>
  </si>
  <si>
    <t>BJELOVAR</t>
  </si>
  <si>
    <t>SISAK</t>
  </si>
  <si>
    <t>TOME ŠESTAKA BB</t>
  </si>
  <si>
    <t>PETRA BIŠKUPA 24/A</t>
  </si>
  <si>
    <t>A.G. MATOŠA 17</t>
  </si>
  <si>
    <t>MORENO MARSON, SANDA FUČEK-ŠANJIĆ</t>
  </si>
  <si>
    <t>TARAŠČICE 18</t>
  </si>
  <si>
    <t>MILJAN TODOROVIĆ</t>
  </si>
  <si>
    <t>ĐURO PREDOVIĆ</t>
  </si>
  <si>
    <t>SIGILFREDO MONTINARI</t>
  </si>
  <si>
    <t>DARIO MONTINARI</t>
  </si>
  <si>
    <t>DOLLY PREDOVIĆ</t>
  </si>
  <si>
    <t>FILIPPO DISERTORI</t>
  </si>
  <si>
    <t>MAURIZIO DALLOCCHIO</t>
  </si>
  <si>
    <t>U računovodstvenim politikama nije bilo promjena.</t>
  </si>
  <si>
    <t>Banka kontinuirano prati izloženost kreditnom riziku i procjenjuje mogućnost nastanka gubitaka radi nemogućnosti naplate pojedinih plasmana. Sukladno internim procedurama procjene rizika, za sve plasmane kod kojih postoji neizvjesnost naplate stvorene su primjerene rezerve u visini procijenjenog nenadoknadivog iznosa plasmana.</t>
  </si>
  <si>
    <t>MILANO</t>
  </si>
  <si>
    <t>TRIESTE</t>
  </si>
  <si>
    <t>LECCE</t>
  </si>
  <si>
    <t>VIA VISCONTI DI MODRONE 1</t>
  </si>
  <si>
    <t>VIA BONAFATA 9</t>
  </si>
  <si>
    <t>VIA P. CECERE 3</t>
  </si>
  <si>
    <t>VIA LIBERTINI 10</t>
  </si>
  <si>
    <t>VIA SALITA ALLA MADONNA DI GRETTA 2/05</t>
  </si>
  <si>
    <t>PIAZZALE GIULIO CESARE 9</t>
  </si>
  <si>
    <t>PIAZZA S. SEPOLORO 1</t>
  </si>
  <si>
    <t>IA</t>
  </si>
  <si>
    <t>IIA</t>
  </si>
  <si>
    <t>IIB</t>
  </si>
  <si>
    <t>III</t>
  </si>
  <si>
    <t>IV</t>
  </si>
  <si>
    <t>V</t>
  </si>
  <si>
    <t>HRPDBARA0008</t>
  </si>
  <si>
    <t>DELOITTE D.O.O. ZAGREB</t>
  </si>
  <si>
    <t>ZAGREB</t>
  </si>
  <si>
    <t>HEINZELOVA 33</t>
  </si>
  <si>
    <t>ZAGREBAČKA BURZA D.D. ZAGREB</t>
  </si>
  <si>
    <t>KOTACIJA JDD</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</si>
  <si>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</si>
  <si>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107</t>
  </si>
  <si>
    <t>LORENZO GORGONI</t>
  </si>
  <si>
    <t>CUTROFIANO,VIALE UMBERTO I 21</t>
  </si>
  <si>
    <t>ASSICURAZIONI GENERALI S.P.A.</t>
  </si>
  <si>
    <t>TRIESTE,PIAZZA DUCA DEGLI ABRUZZI 2</t>
  </si>
  <si>
    <t>TRIESTE, VIA TORREBIANCA 43</t>
  </si>
  <si>
    <t>CERERE S.R.L.</t>
  </si>
  <si>
    <t>ANTONIA GORGONI</t>
  </si>
  <si>
    <t>CUTROFIANO,VIA PIAVE 16</t>
  </si>
  <si>
    <t>MILANO,VIA VISCONTI DI MODRONE 1</t>
  </si>
  <si>
    <t>LECCE, VIA P.CECERE 3</t>
  </si>
  <si>
    <t>LECCE, VIA LIBERTINI 10</t>
  </si>
  <si>
    <t>PIERO MONTINARI</t>
  </si>
  <si>
    <t>ANDREA MONTINARI</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</si>
  <si>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</si>
  <si>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</si>
  <si>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</si>
  <si>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</si>
  <si>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</si>
  <si>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</si>
  <si>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</si>
  <si>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</si>
  <si>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</si>
  <si>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</si>
  <si>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</si>
  <si>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</si>
  <si>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</si>
  <si>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</si>
  <si>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</si>
  <si>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</si>
  <si>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</si>
  <si>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</si>
  <si>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</si>
  <si>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</si>
  <si>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</si>
  <si>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</si>
  <si>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</si>
  <si>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</si>
  <si>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</si>
  <si>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</si>
  <si>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</si>
  <si>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</si>
  <si>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</si>
  <si>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</si>
  <si>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</si>
  <si>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</si>
  <si>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</si>
  <si>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</si>
  <si>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</si>
  <si>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</si>
  <si>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</si>
  <si>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</si>
  <si>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</si>
  <si>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</si>
  <si>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</si>
  <si>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</si>
  <si>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</si>
  <si>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</si>
  <si>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</si>
  <si>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</si>
  <si>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</si>
  <si>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</si>
  <si>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</si>
  <si>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</si>
  <si>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</si>
  <si>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</si>
  <si>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</si>
  <si>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</si>
  <si>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</si>
  <si>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</si>
  <si>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</si>
  <si>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</si>
  <si>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</si>
  <si>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</si>
  <si>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</si>
  <si>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</si>
  <si>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</si>
  <si>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</si>
  <si>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</si>
  <si>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</si>
  <si>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</si>
  <si>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</si>
  <si>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</si>
  <si>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</si>
  <si>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</si>
  <si>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</si>
  <si>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</si>
  <si>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</si>
  <si>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</si>
  <si>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</si>
  <si>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</si>
  <si>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</si>
  <si>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</si>
  <si>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</si>
  <si>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</si>
  <si>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</si>
  <si>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</si>
  <si>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</si>
  <si>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</si>
  <si>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</si>
  <si>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</si>
  <si>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</si>
  <si>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</si>
  <si>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</si>
  <si>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</si>
  <si>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</si>
  <si>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</si>
  <si>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</si>
  <si>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</si>
  <si>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</si>
  <si>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</si>
  <si>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</si>
  <si>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</si>
  <si>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</si>
  <si>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</si>
  <si>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</si>
  <si>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</si>
  <si>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</si>
  <si>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</si>
  <si>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</si>
  <si>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</si>
  <si>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</si>
  <si>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</si>
  <si>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</si>
  <si>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</si>
  <si>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</si>
  <si>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</si>
  <si>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</si>
  <si>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</si>
  <si>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</si>
  <si>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</si>
  <si>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</si>
  <si>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</si>
  <si>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</si>
  <si>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</si>
  <si>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</si>
  <si>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</si>
  <si>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</si>
  <si>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</si>
  <si>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</si>
  <si>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</si>
  <si>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</si>
  <si>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</si>
  <si>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</si>
  <si>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</si>
  <si>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</si>
  <si>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</si>
  <si>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</si>
  <si>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</si>
  <si>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</si>
  <si>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</si>
  <si>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</si>
  <si>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</si>
  <si>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</si>
  <si>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</si>
  <si>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</si>
  <si>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</si>
  <si>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</si>
  <si>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</si>
  <si>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</si>
  <si>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</si>
  <si>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</si>
  <si>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</si>
  <si>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</si>
  <si>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</si>
  <si>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</si>
  <si>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</si>
  <si>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</si>
  <si>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</si>
  <si>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</si>
  <si>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</si>
  <si>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31.07.2007.</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</si>
  <si>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</si>
  <si>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</si>
  <si>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</si>
  <si>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</si>
  <si>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</si>
  <si>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</si>
  <si>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</si>
  <si>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</si>
  <si>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</si>
  <si>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</si>
  <si>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</si>
  <si>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</si>
  <si>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</si>
  <si>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</si>
  <si>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</si>
  <si>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</si>
  <si>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</si>
  <si>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</si>
  <si>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</si>
  <si>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</si>
  <si>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</si>
  <si>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</si>
  <si>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</si>
  <si>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</si>
  <si>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</si>
  <si>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</si>
  <si>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</si>
  <si>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</si>
  <si>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</si>
  <si>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</si>
  <si>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</si>
  <si>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</si>
  <si>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</si>
  <si>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</si>
  <si>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</si>
  <si>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</si>
  <si>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</si>
  <si>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</si>
  <si>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</si>
  <si>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</si>
  <si>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</si>
  <si>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</si>
  <si>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</si>
  <si>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</si>
  <si>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</si>
  <si>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</si>
  <si>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</si>
  <si>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</si>
  <si>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</si>
  <si>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</si>
  <si>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</si>
  <si>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</si>
  <si>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</si>
  <si>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</si>
  <si>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</si>
  <si>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</si>
  <si>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</si>
  <si>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</si>
  <si>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</si>
  <si>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</si>
  <si>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</si>
  <si>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</si>
  <si>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</si>
  <si>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</si>
  <si>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</si>
  <si>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</si>
  <si>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</si>
  <si>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</si>
  <si>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</si>
  <si>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</si>
  <si>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</si>
  <si>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</si>
  <si>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</si>
  <si>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</si>
  <si>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</si>
  <si>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</si>
  <si>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</si>
  <si>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</si>
  <si>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</si>
  <si>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</si>
  <si>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</si>
  <si>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</si>
  <si>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</si>
  <si>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</si>
  <si>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</si>
  <si>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</si>
  <si>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</si>
  <si>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</si>
  <si>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</si>
  <si>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</si>
  <si>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</si>
  <si>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</si>
  <si>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</si>
  <si>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</si>
  <si>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</si>
  <si>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</si>
  <si>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</si>
  <si>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</si>
  <si>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</si>
  <si>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</si>
  <si>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</si>
  <si>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</si>
  <si>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</si>
  <si>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</si>
  <si>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</si>
  <si>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</si>
  <si>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</si>
  <si>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</si>
  <si>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</si>
  <si>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</si>
  <si>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</si>
  <si>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</si>
  <si>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</si>
  <si>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</si>
  <si>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</si>
  <si>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</si>
  <si>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</si>
  <si>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</si>
  <si>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</si>
  <si>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</si>
  <si>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</si>
  <si>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</si>
  <si>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</si>
  <si>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</si>
  <si>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</si>
  <si>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</si>
  <si>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</si>
  <si>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</si>
  <si>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</si>
  <si>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</si>
  <si>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</si>
  <si>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</si>
  <si>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</si>
  <si>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</si>
  <si>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</si>
  <si>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</si>
  <si>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</si>
  <si>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</si>
  <si>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</si>
  <si>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</si>
  <si>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</si>
  <si>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</si>
  <si>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</si>
  <si>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</si>
  <si>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</si>
  <si>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</si>
  <si>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</si>
  <si>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</si>
  <si>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</si>
  <si>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</si>
  <si>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</si>
  <si>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</si>
  <si>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</si>
  <si>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</si>
  <si>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</si>
  <si>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</si>
  <si>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</si>
  <si>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</si>
  <si>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</si>
  <si>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</si>
  <si>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</si>
  <si>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</si>
  <si>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</si>
  <si>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</si>
  <si>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</si>
  <si>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</si>
  <si>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</si>
  <si>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</si>
  <si>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</si>
  <si>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</si>
  <si>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</si>
  <si>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</si>
  <si>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</si>
  <si>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</si>
  <si>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</si>
  <si>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</si>
  <si>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</si>
  <si>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</si>
  <si>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</si>
  <si>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</si>
  <si>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</si>
  <si>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</si>
  <si>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</si>
  <si>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</si>
  <si>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</si>
  <si>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</si>
  <si>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</si>
  <si>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</si>
  <si>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</si>
  <si>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</si>
  <si>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</si>
  <si>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</si>
  <si>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</si>
  <si>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</si>
  <si>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</si>
  <si>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</si>
  <si>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</si>
  <si>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</si>
  <si>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</si>
  <si>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</si>
  <si>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</si>
  <si>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</si>
  <si>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</si>
  <si>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</si>
  <si>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</si>
  <si>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</si>
  <si>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</si>
  <si>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</si>
  <si>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</si>
  <si>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</si>
  <si>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</si>
  <si>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</si>
  <si>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</si>
  <si>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</si>
  <si>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</si>
  <si>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</si>
  <si>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</si>
  <si>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</si>
  <si>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</si>
  <si>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</si>
  <si>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</si>
  <si>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</si>
  <si>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</si>
  <si>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</si>
  <si>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</si>
  <si>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</si>
  <si>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</si>
  <si>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</si>
  <si>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</si>
  <si>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</si>
  <si>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</si>
  <si>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</si>
  <si>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</si>
  <si>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</si>
  <si>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</si>
  <si>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</si>
  <si>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</si>
  <si>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</si>
  <si>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</si>
  <si>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</si>
  <si>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</si>
  <si>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</si>
  <si>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</si>
  <si>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</si>
  <si>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</si>
  <si>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</si>
  <si>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</si>
  <si>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</si>
  <si>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</si>
  <si>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</si>
  <si>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</si>
  <si>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</si>
  <si>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</si>
  <si>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</si>
  <si>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</si>
  <si>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</si>
  <si>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</si>
  <si>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</si>
  <si>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</si>
  <si>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POBA D.D. SKRBNIČKI ZBIRNI RAČUN</t>
  </si>
  <si>
    <t>KOPRIVNICA, OPATIČKA 3</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</si>
  <si>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</si>
  <si>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</si>
  <si>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</si>
  <si>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</si>
  <si>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</si>
  <si>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</si>
  <si>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</si>
  <si>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</si>
  <si>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</si>
  <si>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</si>
  <si>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</si>
  <si>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</si>
  <si>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</si>
  <si>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</si>
  <si>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</si>
  <si>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</si>
  <si>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</si>
  <si>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</si>
  <si>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</si>
  <si>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</si>
  <si>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</si>
  <si>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</si>
  <si>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</si>
  <si>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</si>
  <si>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</si>
  <si>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</si>
  <si>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</si>
  <si>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</si>
  <si>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</si>
  <si>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</si>
  <si>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</si>
  <si>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</si>
  <si>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</si>
  <si>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</si>
  <si>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</si>
  <si>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</si>
  <si>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</si>
  <si>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</si>
  <si>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</si>
  <si>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</si>
  <si>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</si>
  <si>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</si>
  <si>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</si>
  <si>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</si>
  <si>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</si>
  <si>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</si>
  <si>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</si>
  <si>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</si>
  <si>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</si>
  <si>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</si>
  <si>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</si>
  <si>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</si>
  <si>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</si>
  <si>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</si>
  <si>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</si>
  <si>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</si>
  <si>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</si>
  <si>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</si>
  <si>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</si>
  <si>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</si>
  <si>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</si>
  <si>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</si>
  <si>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</si>
  <si>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</si>
  <si>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</si>
  <si>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</si>
  <si>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</si>
  <si>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</si>
  <si>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</si>
  <si>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</si>
  <si>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</si>
  <si>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</si>
  <si>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</si>
  <si>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</si>
  <si>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</si>
  <si>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</si>
  <si>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</si>
  <si>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</si>
  <si>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</si>
  <si>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</si>
  <si>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</si>
  <si>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</si>
  <si>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</si>
  <si>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</si>
  <si>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</si>
  <si>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</si>
  <si>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</si>
  <si>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</si>
  <si>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</si>
  <si>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</si>
  <si>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</si>
  <si>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</si>
  <si>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</si>
  <si>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</si>
  <si>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</si>
  <si>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</si>
  <si>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</si>
  <si>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</si>
  <si>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</si>
  <si>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</si>
  <si>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</si>
  <si>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</si>
  <si>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</si>
  <si>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</si>
  <si>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</si>
  <si>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</si>
  <si>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</si>
  <si>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</si>
  <si>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</si>
  <si>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</si>
  <si>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</si>
  <si>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</si>
  <si>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</si>
  <si>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</si>
  <si>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</si>
  <si>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</si>
  <si>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</si>
  <si>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</si>
  <si>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</si>
  <si>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</si>
  <si>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</si>
  <si>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</si>
  <si>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</si>
  <si>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</si>
  <si>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</si>
  <si>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</si>
  <si>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</si>
  <si>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</si>
  <si>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</si>
  <si>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</si>
  <si>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</si>
  <si>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</si>
  <si>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</si>
  <si>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</si>
  <si>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</si>
  <si>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</si>
  <si>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</si>
  <si>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</si>
  <si>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</si>
  <si>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</si>
  <si>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</si>
  <si>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</si>
  <si>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</si>
  <si>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</si>
  <si>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</si>
  <si>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</si>
  <si>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</si>
  <si>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</si>
  <si>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</si>
  <si>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</si>
  <si>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</si>
  <si>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</si>
  <si>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</si>
  <si>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</si>
  <si>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</si>
  <si>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</si>
  <si>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</si>
  <si>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</si>
  <si>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</si>
  <si>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</si>
  <si>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</si>
  <si>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</si>
  <si>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</si>
  <si>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</si>
  <si>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</si>
  <si>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</si>
  <si>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</si>
  <si>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</si>
  <si>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</si>
  <si>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</si>
  <si>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</si>
  <si>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</si>
  <si>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</si>
  <si>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</si>
  <si>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</si>
  <si>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</si>
  <si>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</si>
  <si>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</si>
  <si>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</si>
  <si>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</si>
  <si>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</si>
  <si>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</si>
  <si>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</si>
  <si>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</si>
  <si>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</si>
  <si>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</si>
  <si>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</si>
  <si>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</si>
  <si>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</si>
  <si>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</si>
  <si>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</si>
  <si>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</si>
  <si>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</si>
  <si>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</si>
  <si>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</si>
  <si>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</si>
  <si>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</si>
  <si>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</si>
  <si>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</si>
  <si>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</si>
  <si>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</si>
  <si>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</si>
  <si>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</si>
  <si>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</si>
  <si>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</si>
  <si>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</si>
  <si>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</si>
  <si>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</si>
  <si>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</si>
  <si>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</si>
  <si>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</si>
  <si>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</si>
  <si>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</si>
  <si>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</si>
  <si>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</si>
  <si>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</si>
  <si>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</si>
  <si>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</si>
  <si>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</si>
  <si>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</si>
  <si>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</si>
  <si>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</si>
  <si>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</si>
  <si>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</si>
  <si>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</si>
  <si>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</si>
  <si>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</si>
  <si>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</si>
  <si>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</si>
  <si>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</si>
  <si>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</si>
  <si>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</si>
  <si>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</si>
  <si>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</si>
  <si>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</si>
  <si>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</si>
  <si>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</si>
  <si>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</si>
  <si>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</si>
  <si>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</si>
  <si>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</si>
  <si>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</si>
  <si>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</si>
  <si>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</si>
  <si>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</si>
  <si>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</si>
  <si>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</si>
  <si>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</si>
  <si>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</si>
  <si>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</si>
  <si>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</si>
  <si>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</si>
  <si>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</si>
  <si>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</si>
  <si>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</si>
  <si>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</si>
  <si>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</si>
  <si>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</si>
  <si>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</si>
  <si>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</si>
  <si>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</si>
  <si>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</si>
  <si>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</si>
  <si>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</si>
  <si>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</si>
  <si>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</si>
  <si>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</si>
  <si>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</si>
  <si>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</si>
  <si>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</si>
  <si>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</si>
  <si>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</si>
  <si>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</si>
  <si>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Zarada po dionici u prvom polugodište 2007. godine iznosi 32,07 kune.</t>
  </si>
  <si>
    <t xml:space="preserve">Operativni i ostali troškovi redovnog poslovanja u prvom polugodištu 2007. godine iznose 58,5 milijuna kuna, što je u okviru planom predviđenih troškova. Banka redovno prati i nadzire kretanje operativnih troškova, kako na razini banke, tako i na razini organizacijskih dijelova. </t>
  </si>
  <si>
    <t>Banka održava stabilnu kunsku i deviznu likvidnoist uz ispunjavanje svih obveza prema klijentima, pridržavanje propisa monetarno-kreditne politike, te održavanje značajnog udjela visokolikvidne imovine u ukupnoj aktivi.</t>
  </si>
  <si>
    <t>U cilju približavanja klijentima u svim regijama Hrvatske, Banka kontinuirano širi svoju poslovnu mrežu.</t>
  </si>
  <si>
    <t xml:space="preserve">U prvom polugodištu 2007.godine je ostvarena dobit u iznosu 13,4 milijuna kuna, što je u okviru planiranih vrijednosti. </t>
  </si>
  <si>
    <t xml:space="preserve">U promatranom razdoblju nije bilo bitnih promjena u vlasničkoj strukturi.  </t>
  </si>
  <si>
    <t>U promatranom razdoblju nije bilo pripajanja ni spajanja.</t>
  </si>
  <si>
    <t>Na dan 30. lipnja 2007. godine bilančna imovina Banke iznosi 2,6 milijardi kuna. Imovina je povećana za 95 milijuna kuna u odnosu na kraj prethodne godine, pri čemu se najznačajnije povećanje odnosi na dane kredite. Ostvarena dobit prvog polugodišta iznosi 13,4 milijuna kuna.</t>
  </si>
  <si>
    <t>U strukturi prihoda su najznačajnija stavka kamatni prihodi, koji čine 69,3% prihoda. Prihodi od naknada čine 16,4% te ostali prihodi 14,3 % ukupno ostvarenih prihoda u prvom polugodištu.</t>
  </si>
  <si>
    <t>Banka obavlja sve klasične bankovne poslove i druge financijske usluge. Prilagođavajući se zahtjevima i potrebama klijenata, Banka kontinuirano širi paletu proizvoda i usluga namjenjenih građanima i poslovnim subjektima.</t>
  </si>
  <si>
    <t>Banka vodi više sudskih sporova protiv trgovačkih društava i fizičkih osoba radi naplate dospjelih potraživanja po odobrenim plasmanima. Protiv Banke se ne vode nikakovi značajniji sporovi.</t>
  </si>
  <si>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</si>
  <si>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</si>
  <si>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</si>
  <si>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</si>
  <si>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</si>
  <si>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</si>
  <si>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</si>
  <si>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</si>
  <si>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</si>
  <si>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</si>
  <si>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</si>
  <si>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</si>
  <si>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KOPRIVNICI</t>
  </si>
  <si>
    <t>Marijana Horvat</t>
  </si>
  <si>
    <t>Vesna Laloš</t>
  </si>
  <si>
    <t>048655157</t>
  </si>
  <si>
    <t>048655117</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</si>
  <si>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</si>
  <si>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</si>
  <si>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</si>
  <si>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</si>
  <si>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</si>
  <si>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</si>
  <si>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</si>
  <si>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</si>
  <si>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</si>
  <si>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</si>
  <si>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</si>
  <si>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</si>
  <si>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U promatranom razdoblju nije bilo podjele dionica.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</si>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</sst>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3">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cellStyleXfs>
  <cellXfs count="408">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3"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3" applyFont="1" applyFill="1" applyBorder="1" applyAlignment="1">
      <alignment vertical="center"/>
      <protection/>
    </xf>
    <xf numFmtId="0" fontId="5" fillId="3" borderId="1" xfId="23" applyFont="1" applyFill="1" applyBorder="1" applyAlignment="1">
      <alignment horizontal="left" vertical="center"/>
      <protection/>
    </xf>
    <xf numFmtId="0" fontId="5" fillId="3" borderId="20" xfId="23"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23" applyFont="1" applyFill="1" applyBorder="1" applyAlignment="1">
      <alignment vertical="center"/>
      <protection/>
    </xf>
    <xf numFmtId="0" fontId="0" fillId="3" borderId="22" xfId="23" applyFont="1" applyFill="1" applyBorder="1" applyAlignment="1">
      <alignment horizontal="left" vertical="center"/>
      <protection/>
    </xf>
    <xf numFmtId="0" fontId="19" fillId="3" borderId="20" xfId="23" applyFont="1" applyFill="1" applyBorder="1" applyAlignment="1">
      <alignment horizontal="left" vertical="center"/>
      <protection/>
    </xf>
    <xf numFmtId="0" fontId="19" fillId="3" borderId="2" xfId="23" applyFont="1" applyFill="1" applyBorder="1" applyAlignment="1">
      <alignment horizontal="left" vertical="center"/>
      <protection/>
    </xf>
    <xf numFmtId="0" fontId="20" fillId="3" borderId="20" xfId="23" applyFont="1" applyFill="1" applyBorder="1" applyAlignment="1">
      <alignment horizontal="left" vertical="center"/>
      <protection/>
    </xf>
    <xf numFmtId="0" fontId="20" fillId="3" borderId="2" xfId="23" applyFont="1" applyFill="1" applyBorder="1" applyAlignment="1">
      <alignment horizontal="left" vertical="center"/>
      <protection/>
    </xf>
    <xf numFmtId="0" fontId="5" fillId="3" borderId="21" xfId="23" applyFont="1" applyFill="1" applyBorder="1" applyAlignment="1">
      <alignment horizontal="left" vertical="center"/>
      <protection/>
    </xf>
    <xf numFmtId="0" fontId="5" fillId="3" borderId="22" xfId="23" applyFont="1" applyFill="1" applyBorder="1" applyAlignment="1">
      <alignment horizontal="left" vertical="center"/>
      <protection/>
    </xf>
    <xf numFmtId="0" fontId="19" fillId="3" borderId="20" xfId="23" applyFont="1" applyFill="1" applyBorder="1" applyAlignment="1">
      <alignment vertical="center"/>
      <protection/>
    </xf>
    <xf numFmtId="0" fontId="19" fillId="3" borderId="2" xfId="23" applyFont="1" applyFill="1" applyBorder="1" applyAlignment="1">
      <alignment vertical="center"/>
      <protection/>
    </xf>
    <xf numFmtId="0" fontId="20" fillId="3" borderId="20" xfId="23" applyFont="1" applyFill="1" applyBorder="1" applyAlignment="1">
      <alignment vertical="center"/>
      <protection/>
    </xf>
    <xf numFmtId="0" fontId="20" fillId="3" borderId="2" xfId="23" applyFont="1" applyFill="1" applyBorder="1" applyAlignment="1">
      <alignment vertical="center"/>
      <protection/>
    </xf>
    <xf numFmtId="0" fontId="5" fillId="3" borderId="21" xfId="23" applyFont="1" applyFill="1" applyBorder="1" applyAlignment="1">
      <alignment vertical="center"/>
      <protection/>
    </xf>
    <xf numFmtId="0" fontId="5" fillId="3" borderId="23" xfId="23" applyFont="1" applyFill="1" applyBorder="1" applyAlignment="1">
      <alignment vertical="center"/>
      <protection/>
    </xf>
    <xf numFmtId="0" fontId="0" fillId="3" borderId="24" xfId="23" applyFont="1" applyFill="1" applyBorder="1" applyAlignment="1">
      <alignment horizontal="left" vertical="center"/>
      <protection/>
    </xf>
    <xf numFmtId="0" fontId="20" fillId="0" borderId="0" xfId="23" applyFont="1" applyFill="1" applyProtection="1">
      <alignment/>
      <protection/>
    </xf>
    <xf numFmtId="0" fontId="5" fillId="0" borderId="25" xfId="0" applyFont="1" applyBorder="1" applyAlignment="1">
      <alignment horizontal="center" vertical="center" shrinkToFit="1"/>
    </xf>
    <xf numFmtId="164" fontId="5" fillId="0" borderId="3" xfId="23"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3" applyFont="1" applyFill="1" applyBorder="1" applyAlignment="1">
      <alignment vertical="center"/>
      <protection/>
    </xf>
    <xf numFmtId="0" fontId="0" fillId="3" borderId="1" xfId="23" applyFont="1" applyFill="1" applyBorder="1" applyAlignment="1">
      <alignment vertical="top"/>
      <protection/>
    </xf>
    <xf numFmtId="0" fontId="5" fillId="3" borderId="1" xfId="23"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0" fontId="11" fillId="0" borderId="0" xfId="23" applyFont="1" applyFill="1" applyBorder="1" applyAlignment="1" applyProtection="1">
      <alignment/>
      <protection/>
    </xf>
    <xf numFmtId="0" fontId="0" fillId="0" borderId="0" xfId="23" applyFont="1" applyFill="1" applyBorder="1" applyAlignment="1" applyProtection="1">
      <alignment/>
      <protection/>
    </xf>
    <xf numFmtId="0" fontId="0" fillId="0" borderId="0" xfId="0" applyFont="1" applyBorder="1" applyAlignment="1">
      <alignment/>
    </xf>
    <xf numFmtId="0" fontId="0" fillId="0" borderId="0" xfId="23" applyFont="1" applyFill="1" applyAlignment="1">
      <alignment vertical="top"/>
      <protection/>
    </xf>
    <xf numFmtId="0" fontId="0" fillId="0" borderId="0" xfId="23"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3" applyFont="1" applyFill="1" applyBorder="1" applyAlignment="1">
      <alignment vertical="center"/>
      <protection/>
    </xf>
    <xf numFmtId="0" fontId="0" fillId="0" borderId="0" xfId="23" applyFont="1" applyFill="1" applyBorder="1" applyAlignment="1">
      <alignment horizontal="left" vertical="center"/>
      <protection/>
    </xf>
    <xf numFmtId="0" fontId="5" fillId="0" borderId="0" xfId="23" applyFont="1" applyFill="1" applyBorder="1" applyAlignment="1">
      <alignment horizontal="left" vertical="center"/>
      <protection/>
    </xf>
    <xf numFmtId="0" fontId="0" fillId="0" borderId="20" xfId="23"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3" applyFont="1" applyFill="1" applyBorder="1" applyAlignment="1">
      <alignment horizontal="left" vertical="top"/>
      <protection/>
    </xf>
    <xf numFmtId="0" fontId="0" fillId="0" borderId="22" xfId="23" applyFont="1" applyFill="1" applyBorder="1" applyAlignment="1">
      <alignment horizontal="left" vertical="center"/>
      <protection/>
    </xf>
    <xf numFmtId="0" fontId="0" fillId="0" borderId="17" xfId="23" applyFont="1" applyFill="1" applyBorder="1" applyAlignment="1">
      <alignment horizontal="left" vertical="center"/>
      <protection/>
    </xf>
    <xf numFmtId="0" fontId="5" fillId="0" borderId="20" xfId="23" applyFont="1" applyFill="1" applyBorder="1" applyAlignment="1">
      <alignment horizontal="left" vertical="top"/>
      <protection/>
    </xf>
    <xf numFmtId="0" fontId="0" fillId="0" borderId="0" xfId="23" applyFont="1" applyFill="1" applyBorder="1" applyAlignment="1">
      <alignment horizontal="left" vertical="top"/>
      <protection/>
    </xf>
    <xf numFmtId="0" fontId="5" fillId="0" borderId="0" xfId="23" applyFont="1" applyFill="1" applyBorder="1" applyAlignment="1">
      <alignment horizontal="left" vertical="top"/>
      <protection/>
    </xf>
    <xf numFmtId="0" fontId="5" fillId="0" borderId="22" xfId="23"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3" applyNumberFormat="1" applyFont="1" applyFill="1" applyBorder="1" applyAlignment="1" applyProtection="1">
      <alignment horizontal="right" vertical="center" shrinkToFit="1"/>
      <protection locked="0"/>
    </xf>
    <xf numFmtId="3" fontId="0" fillId="4" borderId="3" xfId="23" applyNumberFormat="1" applyFont="1" applyFill="1" applyBorder="1" applyAlignment="1" applyProtection="1">
      <alignment horizontal="right" vertical="center" shrinkToFit="1"/>
      <protection/>
    </xf>
    <xf numFmtId="3" fontId="5" fillId="4" borderId="3" xfId="23"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0" fillId="0" borderId="26" xfId="0" applyNumberFormat="1" applyBorder="1" applyAlignment="1" applyProtection="1">
      <alignment vertical="center"/>
      <protection locked="0"/>
    </xf>
    <xf numFmtId="0" fontId="0" fillId="0" borderId="27"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49" fontId="5" fillId="2" borderId="28" xfId="0" applyNumberFormat="1" applyFont="1" applyFill="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0" fontId="2" fillId="2" borderId="28" xfId="0" applyNumberFormat="1" applyFont="1" applyFill="1" applyBorder="1" applyAlignment="1" applyProtection="1">
      <alignment vertical="center"/>
      <protection locked="0"/>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32" fillId="0" borderId="0" xfId="0" applyFont="1" applyAlignment="1">
      <alignment horizontal="left" vertical="top" wrapText="1"/>
    </xf>
    <xf numFmtId="0" fontId="31" fillId="0" borderId="0" xfId="0" applyFont="1" applyAlignment="1">
      <alignment horizontal="left" vertical="top" wrapText="1"/>
    </xf>
    <xf numFmtId="0" fontId="29" fillId="6" borderId="0" xfId="0" applyFont="1" applyFill="1" applyBorder="1" applyAlignment="1">
      <alignment horizontal="center"/>
    </xf>
    <xf numFmtId="0" fontId="31" fillId="0" borderId="0" xfId="0" applyFont="1" applyAlignment="1">
      <alignment vertical="top" wrapText="1"/>
    </xf>
    <xf numFmtId="0" fontId="30" fillId="6" borderId="0" xfId="0" applyFont="1" applyFill="1" applyBorder="1" applyAlignment="1">
      <alignment horizontal="right" vertical="top"/>
    </xf>
    <xf numFmtId="0" fontId="0" fillId="0" borderId="0" xfId="0" applyAlignment="1">
      <alignment horizontal="right" vertical="top"/>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6" xfId="0" applyNumberFormat="1" applyFont="1" applyFill="1" applyBorder="1" applyAlignment="1" applyProtection="1">
      <alignment horizontal="left" vertical="center"/>
      <protection locked="0"/>
    </xf>
    <xf numFmtId="49" fontId="5" fillId="2" borderId="27" xfId="0" applyNumberFormat="1" applyFont="1" applyFill="1" applyBorder="1" applyAlignment="1" applyProtection="1">
      <alignment horizontal="left" vertical="center"/>
      <protection locked="0"/>
    </xf>
    <xf numFmtId="4" fontId="5" fillId="2" borderId="28" xfId="0" applyNumberFormat="1" applyFont="1" applyFill="1" applyBorder="1" applyAlignment="1" applyProtection="1">
      <alignment horizontal="right" vertical="center"/>
      <protection locked="0"/>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3" fontId="5" fillId="2" borderId="28" xfId="0" applyNumberFormat="1" applyFont="1" applyFill="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6" xfId="0" applyNumberFormat="1" applyFill="1" applyBorder="1" applyAlignment="1" applyProtection="1">
      <alignment horizontal="left" vertical="center"/>
      <protection locked="0"/>
    </xf>
    <xf numFmtId="49" fontId="0" fillId="2" borderId="27"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6" xfId="0" applyNumberFormat="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8" xfId="0" applyNumberFormat="1" applyFont="1" applyFill="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 fontId="5" fillId="2" borderId="28" xfId="0" applyNumberFormat="1" applyFont="1" applyFill="1" applyBorder="1" applyAlignment="1" applyProtection="1">
      <alignment vertical="center"/>
      <protection locked="0"/>
    </xf>
    <xf numFmtId="4" fontId="0" fillId="2" borderId="26" xfId="0" applyNumberForma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8" xfId="0" applyNumberFormat="1" applyFont="1" applyFill="1" applyBorder="1" applyAlignment="1" applyProtection="1">
      <alignment horizontal="left" vertical="center" wrapText="1"/>
      <protection locked="0"/>
    </xf>
    <xf numFmtId="49" fontId="5" fillId="2" borderId="26" xfId="0" applyNumberFormat="1" applyFont="1" applyFill="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8" xfId="0" applyNumberFormat="1" applyFont="1" applyFill="1" applyBorder="1" applyAlignment="1" applyProtection="1">
      <alignment vertical="center"/>
      <protection locked="0"/>
    </xf>
    <xf numFmtId="3" fontId="0" fillId="2" borderId="26" xfId="0" applyNumberForma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3" fontId="5" fillId="2" borderId="18" xfId="23" applyNumberFormat="1" applyFont="1" applyFill="1" applyBorder="1" applyAlignment="1" applyProtection="1">
      <alignment horizontal="right" vertical="center"/>
      <protection locked="0"/>
    </xf>
    <xf numFmtId="3" fontId="5" fillId="2" borderId="30" xfId="23" applyNumberFormat="1" applyFont="1" applyFill="1" applyBorder="1" applyAlignment="1" applyProtection="1">
      <alignment horizontal="right" vertical="center"/>
      <protection locked="0"/>
    </xf>
    <xf numFmtId="3" fontId="5" fillId="2" borderId="19" xfId="23" applyNumberFormat="1" applyFont="1" applyFill="1" applyBorder="1" applyAlignment="1" applyProtection="1">
      <alignment horizontal="right" vertical="center"/>
      <protection locked="0"/>
    </xf>
    <xf numFmtId="4" fontId="5" fillId="2" borderId="18" xfId="23" applyNumberFormat="1" applyFont="1" applyFill="1" applyBorder="1" applyAlignment="1" applyProtection="1">
      <alignment horizontal="right" vertical="center"/>
      <protection locked="0"/>
    </xf>
    <xf numFmtId="4" fontId="5" fillId="2" borderId="30" xfId="23" applyNumberFormat="1" applyFont="1" applyFill="1" applyBorder="1" applyAlignment="1" applyProtection="1">
      <alignment horizontal="right" vertical="center"/>
      <protection locked="0"/>
    </xf>
    <xf numFmtId="4" fontId="5" fillId="2" borderId="19" xfId="23" applyNumberFormat="1" applyFont="1" applyFill="1" applyBorder="1" applyAlignment="1" applyProtection="1">
      <alignment horizontal="right" vertical="center"/>
      <protection locked="0"/>
    </xf>
    <xf numFmtId="0" fontId="19" fillId="3" borderId="1" xfId="23"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3" borderId="1" xfId="23" applyFont="1" applyFill="1" applyBorder="1" applyAlignment="1">
      <alignment vertical="center" wrapText="1"/>
      <protection/>
    </xf>
    <xf numFmtId="0" fontId="5" fillId="0" borderId="2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3" borderId="1" xfId="23"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3" borderId="20" xfId="23" applyFont="1" applyFill="1" applyBorder="1" applyAlignment="1">
      <alignment horizontal="left" vertical="center" wrapText="1"/>
      <protection/>
    </xf>
    <xf numFmtId="0" fontId="0" fillId="3" borderId="20" xfId="23"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5" fillId="3" borderId="1" xfId="23" applyFont="1" applyFill="1" applyBorder="1" applyAlignment="1">
      <alignment horizontal="left" vertical="center"/>
      <protection/>
    </xf>
    <xf numFmtId="0" fontId="0" fillId="3" borderId="20" xfId="23"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0" fillId="3" borderId="20" xfId="23"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20" xfId="23" applyFont="1" applyFill="1" applyBorder="1" applyAlignment="1">
      <alignment vertical="center" wrapText="1"/>
      <protection/>
    </xf>
    <xf numFmtId="0" fontId="5" fillId="3" borderId="2" xfId="23" applyFont="1" applyFill="1" applyBorder="1" applyAlignment="1">
      <alignment vertical="center" wrapText="1"/>
      <protection/>
    </xf>
    <xf numFmtId="0" fontId="0" fillId="3" borderId="2" xfId="23" applyFont="1" applyFill="1" applyBorder="1" applyAlignment="1">
      <alignment horizontal="left" vertical="center"/>
      <protection/>
    </xf>
    <xf numFmtId="3" fontId="5" fillId="4" borderId="30" xfId="23" applyNumberFormat="1" applyFont="1" applyFill="1" applyBorder="1" applyAlignment="1" applyProtection="1">
      <alignment horizontal="right" vertical="center"/>
      <protection/>
    </xf>
    <xf numFmtId="3" fontId="5" fillId="4" borderId="19" xfId="23" applyNumberFormat="1" applyFont="1" applyFill="1" applyBorder="1" applyAlignment="1" applyProtection="1">
      <alignment horizontal="right" vertical="center"/>
      <protection/>
    </xf>
    <xf numFmtId="0" fontId="0" fillId="0" borderId="20" xfId="0" applyBorder="1" applyAlignment="1">
      <alignment vertical="center" wrapText="1"/>
    </xf>
    <xf numFmtId="0" fontId="0" fillId="0" borderId="2" xfId="0" applyBorder="1" applyAlignment="1">
      <alignment vertical="center" wrapText="1"/>
    </xf>
    <xf numFmtId="0" fontId="0" fillId="3" borderId="1" xfId="23" applyFont="1" applyFill="1" applyBorder="1" applyAlignment="1">
      <alignment vertical="center" wrapText="1"/>
      <protection/>
    </xf>
    <xf numFmtId="0" fontId="0" fillId="3" borderId="2" xfId="23" applyFont="1" applyFill="1" applyBorder="1" applyAlignment="1">
      <alignment vertical="center" wrapText="1"/>
      <protection/>
    </xf>
    <xf numFmtId="3" fontId="0" fillId="2" borderId="30" xfId="23" applyNumberFormat="1" applyFont="1" applyFill="1" applyBorder="1" applyAlignment="1" applyProtection="1">
      <alignment horizontal="right" vertical="center"/>
      <protection locked="0"/>
    </xf>
    <xf numFmtId="3" fontId="0" fillId="2" borderId="19" xfId="23" applyNumberFormat="1" applyFont="1" applyFill="1" applyBorder="1" applyAlignment="1" applyProtection="1">
      <alignment horizontal="right" vertical="center"/>
      <protection locked="0"/>
    </xf>
    <xf numFmtId="3" fontId="0" fillId="2" borderId="18" xfId="23" applyNumberFormat="1" applyFont="1" applyFill="1" applyBorder="1" applyAlignment="1" applyProtection="1">
      <alignment horizontal="right" vertical="center"/>
      <protection locked="0"/>
    </xf>
    <xf numFmtId="3" fontId="5" fillId="4" borderId="18" xfId="23" applyNumberFormat="1" applyFont="1" applyFill="1" applyBorder="1" applyAlignment="1" applyProtection="1">
      <alignment horizontal="right" vertical="center"/>
      <protection/>
    </xf>
    <xf numFmtId="0" fontId="20" fillId="0" borderId="0" xfId="23" applyFont="1" applyFill="1" applyAlignment="1" applyProtection="1">
      <alignment horizontal="left" vertical="top" wrapText="1"/>
      <protection/>
    </xf>
    <xf numFmtId="3" fontId="0"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18" fillId="0" borderId="20" xfId="0" applyFont="1" applyBorder="1" applyAlignment="1">
      <alignment horizontal="right" vertical="center"/>
    </xf>
    <xf numFmtId="0" fontId="5" fillId="3" borderId="1" xfId="23" applyFont="1" applyFill="1" applyBorder="1" applyAlignment="1">
      <alignment horizontal="left" vertical="center" shrinkToFit="1"/>
      <protection/>
    </xf>
    <xf numFmtId="0" fontId="5" fillId="3" borderId="20" xfId="23" applyFont="1" applyFill="1" applyBorder="1" applyAlignment="1">
      <alignment horizontal="left" vertical="center" shrinkToFit="1"/>
      <protection/>
    </xf>
    <xf numFmtId="0" fontId="5" fillId="3" borderId="2" xfId="23" applyFont="1" applyFill="1" applyBorder="1" applyAlignment="1">
      <alignment horizontal="left" vertical="center" shrinkToFit="1"/>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11" fillId="2" borderId="1" xfId="23"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11">
    <cellStyle name="Normal" xfId="0"/>
    <cellStyle name="Comma" xfId="15"/>
    <cellStyle name="Comma [0]" xfId="16"/>
    <cellStyle name="Comma_Book1" xfId="17"/>
    <cellStyle name="Currency" xfId="18"/>
    <cellStyle name="Currency [0]" xfId="19"/>
    <cellStyle name="Currency [0]_Book1" xfId="20"/>
    <cellStyle name="Currency_Book1" xfId="21"/>
    <cellStyle name="Normal_Podaci" xfId="22"/>
    <cellStyle name="Normal_TFI-FIN"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C9" sqref="C9:H9"/>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1" t="s">
        <v>849</v>
      </c>
      <c r="B1" s="251"/>
      <c r="C1" s="251"/>
      <c r="D1" s="251"/>
      <c r="E1" s="251"/>
      <c r="F1" s="251"/>
      <c r="G1" s="251"/>
      <c r="H1" s="251"/>
    </row>
    <row r="2" spans="1:8" ht="12.75">
      <c r="A2" s="253" t="s">
        <v>21</v>
      </c>
      <c r="B2" s="254"/>
      <c r="C2" s="254"/>
      <c r="D2" s="254"/>
      <c r="E2" s="254"/>
      <c r="F2" s="254"/>
      <c r="G2" s="254"/>
      <c r="H2" s="254"/>
    </row>
    <row r="3" spans="1:8" ht="15" customHeight="1">
      <c r="A3" s="226" t="s">
        <v>2</v>
      </c>
      <c r="B3" s="227"/>
      <c r="C3" s="227"/>
      <c r="D3" s="227"/>
      <c r="E3" s="227"/>
      <c r="F3" s="227"/>
      <c r="G3" s="227"/>
      <c r="H3" s="227"/>
    </row>
    <row r="4" spans="1:8" s="202" customFormat="1" ht="19.5" customHeight="1">
      <c r="A4" s="226"/>
      <c r="B4" s="228" t="s">
        <v>850</v>
      </c>
      <c r="C4" s="252" t="s">
        <v>851</v>
      </c>
      <c r="D4" s="252"/>
      <c r="E4" s="252"/>
      <c r="F4" s="252"/>
      <c r="G4" s="252"/>
      <c r="H4" s="252"/>
    </row>
    <row r="5" spans="1:8" s="202" customFormat="1" ht="42" customHeight="1">
      <c r="A5" s="226"/>
      <c r="B5" s="228" t="s">
        <v>852</v>
      </c>
      <c r="C5" s="252" t="s">
        <v>824</v>
      </c>
      <c r="D5" s="252"/>
      <c r="E5" s="252"/>
      <c r="F5" s="252"/>
      <c r="G5" s="252"/>
      <c r="H5" s="252"/>
    </row>
    <row r="6" spans="1:8" s="202" customFormat="1" ht="18.75" customHeight="1">
      <c r="A6" s="226"/>
      <c r="B6" s="228" t="s">
        <v>853</v>
      </c>
      <c r="C6" s="252" t="s">
        <v>825</v>
      </c>
      <c r="D6" s="252"/>
      <c r="E6" s="252"/>
      <c r="F6" s="252"/>
      <c r="G6" s="252"/>
      <c r="H6" s="252"/>
    </row>
    <row r="7" spans="1:8" s="202" customFormat="1" ht="18.75" customHeight="1">
      <c r="A7" s="226"/>
      <c r="B7" s="228" t="s">
        <v>854</v>
      </c>
      <c r="C7" s="252" t="s">
        <v>826</v>
      </c>
      <c r="D7" s="252"/>
      <c r="E7" s="252"/>
      <c r="F7" s="252"/>
      <c r="G7" s="252"/>
      <c r="H7" s="252"/>
    </row>
    <row r="8" spans="1:8" s="202" customFormat="1" ht="18.75" customHeight="1">
      <c r="A8" s="226"/>
      <c r="B8" s="228" t="s">
        <v>855</v>
      </c>
      <c r="C8" s="252" t="s">
        <v>827</v>
      </c>
      <c r="D8" s="252"/>
      <c r="E8" s="252"/>
      <c r="F8" s="252"/>
      <c r="G8" s="252"/>
      <c r="H8" s="252"/>
    </row>
    <row r="9" spans="1:8" s="202" customFormat="1" ht="18.75" customHeight="1">
      <c r="A9" s="226"/>
      <c r="B9" s="228" t="s">
        <v>1</v>
      </c>
      <c r="C9" s="252" t="s">
        <v>828</v>
      </c>
      <c r="D9" s="252"/>
      <c r="E9" s="252"/>
      <c r="F9" s="252"/>
      <c r="G9" s="252"/>
      <c r="H9" s="252"/>
    </row>
    <row r="10" spans="1:8" s="202" customFormat="1" ht="18.75" customHeight="1">
      <c r="A10" s="226"/>
      <c r="B10" s="228" t="s">
        <v>856</v>
      </c>
      <c r="C10" s="252" t="s">
        <v>829</v>
      </c>
      <c r="D10" s="252"/>
      <c r="E10" s="252"/>
      <c r="F10" s="252"/>
      <c r="G10" s="252"/>
      <c r="H10" s="252"/>
    </row>
    <row r="11" spans="1:8" s="202" customFormat="1" ht="31.5" customHeight="1">
      <c r="A11" s="226"/>
      <c r="B11" s="228" t="s">
        <v>857</v>
      </c>
      <c r="C11" s="252" t="s">
        <v>830</v>
      </c>
      <c r="D11" s="252"/>
      <c r="E11" s="252"/>
      <c r="F11" s="252"/>
      <c r="G11" s="252"/>
      <c r="H11" s="252"/>
    </row>
    <row r="12" spans="1:8" s="202" customFormat="1" ht="57.75" customHeight="1">
      <c r="A12" s="250" t="s">
        <v>777</v>
      </c>
      <c r="B12" s="250"/>
      <c r="C12" s="250"/>
      <c r="D12" s="250"/>
      <c r="E12" s="250"/>
      <c r="F12" s="250"/>
      <c r="G12" s="250"/>
      <c r="H12" s="250"/>
    </row>
    <row r="13" spans="1:8" s="202" customFormat="1" ht="94.5" customHeight="1">
      <c r="A13" s="250" t="s">
        <v>22</v>
      </c>
      <c r="B13" s="250"/>
      <c r="C13" s="250"/>
      <c r="D13" s="250"/>
      <c r="E13" s="250"/>
      <c r="F13" s="250"/>
      <c r="G13" s="250"/>
      <c r="H13" s="250"/>
    </row>
    <row r="14" spans="1:8" s="202" customFormat="1" ht="46.5" customHeight="1">
      <c r="A14" s="250" t="s">
        <v>858</v>
      </c>
      <c r="B14" s="250"/>
      <c r="C14" s="250"/>
      <c r="D14" s="250"/>
      <c r="E14" s="250"/>
      <c r="F14" s="250"/>
      <c r="G14" s="250"/>
      <c r="H14" s="250"/>
    </row>
    <row r="15" spans="1:8" s="202" customFormat="1" ht="60" customHeight="1">
      <c r="A15" s="226"/>
      <c r="B15" s="250" t="s">
        <v>874</v>
      </c>
      <c r="C15" s="250"/>
      <c r="D15" s="250"/>
      <c r="E15" s="250"/>
      <c r="F15" s="250"/>
      <c r="G15" s="250"/>
      <c r="H15" s="250"/>
    </row>
    <row r="16" spans="1:8" s="202" customFormat="1" ht="66.75" customHeight="1">
      <c r="A16" s="250" t="s">
        <v>23</v>
      </c>
      <c r="B16" s="250"/>
      <c r="C16" s="250"/>
      <c r="D16" s="250"/>
      <c r="E16" s="250"/>
      <c r="F16" s="250"/>
      <c r="G16" s="250"/>
      <c r="H16" s="250"/>
    </row>
    <row r="17" spans="1:8" s="202" customFormat="1" ht="31.5" customHeight="1">
      <c r="A17" s="250" t="s">
        <v>778</v>
      </c>
      <c r="B17" s="250"/>
      <c r="C17" s="250"/>
      <c r="D17" s="250"/>
      <c r="E17" s="250"/>
      <c r="F17" s="250"/>
      <c r="G17" s="250"/>
      <c r="H17" s="250"/>
    </row>
    <row r="18" spans="1:8" s="202" customFormat="1" ht="82.5" customHeight="1">
      <c r="A18" s="250" t="s">
        <v>779</v>
      </c>
      <c r="B18" s="250"/>
      <c r="C18" s="250"/>
      <c r="D18" s="250"/>
      <c r="E18" s="250"/>
      <c r="F18" s="250"/>
      <c r="G18" s="250"/>
      <c r="H18" s="250"/>
    </row>
    <row r="19" spans="1:8" s="202" customFormat="1" ht="34.5" customHeight="1">
      <c r="A19" s="250" t="s">
        <v>0</v>
      </c>
      <c r="B19" s="250"/>
      <c r="C19" s="250"/>
      <c r="D19" s="250"/>
      <c r="E19" s="250"/>
      <c r="F19" s="250"/>
      <c r="G19" s="250"/>
      <c r="H19" s="250"/>
    </row>
    <row r="20" spans="1:8" s="202" customFormat="1" ht="83.25" customHeight="1">
      <c r="A20" s="250" t="s">
        <v>24</v>
      </c>
      <c r="B20" s="250"/>
      <c r="C20" s="250"/>
      <c r="D20" s="250"/>
      <c r="E20" s="250"/>
      <c r="F20" s="250"/>
      <c r="G20" s="250"/>
      <c r="H20" s="250"/>
    </row>
    <row r="21" spans="1:8" s="202" customFormat="1" ht="99.75" customHeight="1">
      <c r="A21" s="250" t="s">
        <v>26</v>
      </c>
      <c r="B21" s="250"/>
      <c r="C21" s="250"/>
      <c r="D21" s="250"/>
      <c r="E21" s="250"/>
      <c r="F21" s="250"/>
      <c r="G21" s="250"/>
      <c r="H21" s="250"/>
    </row>
    <row r="22" spans="1:8" s="202" customFormat="1" ht="44.25" customHeight="1">
      <c r="A22" s="250" t="s">
        <v>4</v>
      </c>
      <c r="B22" s="250"/>
      <c r="C22" s="250"/>
      <c r="D22" s="250"/>
      <c r="E22" s="250"/>
      <c r="F22" s="250"/>
      <c r="G22" s="250"/>
      <c r="H22" s="250"/>
    </row>
    <row r="23" spans="1:8" s="202" customFormat="1" ht="44.25" customHeight="1">
      <c r="A23" s="250" t="s">
        <v>27</v>
      </c>
      <c r="B23" s="250"/>
      <c r="C23" s="250"/>
      <c r="D23" s="250"/>
      <c r="E23" s="250"/>
      <c r="F23" s="250"/>
      <c r="G23" s="250"/>
      <c r="H23" s="250"/>
    </row>
    <row r="24" spans="1:8" s="202" customFormat="1" ht="30" customHeight="1">
      <c r="A24" s="250" t="s">
        <v>28</v>
      </c>
      <c r="B24" s="250"/>
      <c r="C24" s="250"/>
      <c r="D24" s="250"/>
      <c r="E24" s="250"/>
      <c r="F24" s="250"/>
      <c r="G24" s="250"/>
      <c r="H24" s="250"/>
    </row>
    <row r="25" spans="1:8" s="202" customFormat="1" ht="84.75" customHeight="1">
      <c r="A25" s="250" t="s">
        <v>29</v>
      </c>
      <c r="B25" s="250"/>
      <c r="C25" s="250"/>
      <c r="D25" s="250"/>
      <c r="E25" s="250"/>
      <c r="F25" s="250"/>
      <c r="G25" s="250"/>
      <c r="H25" s="250"/>
    </row>
    <row r="26" spans="1:8" s="202" customFormat="1" ht="45" customHeight="1">
      <c r="A26" s="250" t="s">
        <v>105</v>
      </c>
      <c r="B26" s="250"/>
      <c r="C26" s="250"/>
      <c r="D26" s="250"/>
      <c r="E26" s="250"/>
      <c r="F26" s="250"/>
      <c r="G26" s="250"/>
      <c r="H26" s="250"/>
    </row>
    <row r="27" spans="1:8" s="202" customFormat="1" ht="42.75" customHeight="1">
      <c r="A27" s="250" t="s">
        <v>3</v>
      </c>
      <c r="B27" s="250"/>
      <c r="C27" s="250"/>
      <c r="D27" s="250"/>
      <c r="E27" s="250"/>
      <c r="F27" s="250"/>
      <c r="G27" s="250"/>
      <c r="H27" s="250"/>
    </row>
    <row r="28" spans="1:8" s="202" customFormat="1" ht="94.5" customHeight="1">
      <c r="A28" s="249" t="s">
        <v>30</v>
      </c>
      <c r="B28" s="249"/>
      <c r="C28" s="249"/>
      <c r="D28" s="249"/>
      <c r="E28" s="249"/>
      <c r="F28" s="249"/>
      <c r="G28" s="249"/>
      <c r="H28" s="249"/>
    </row>
    <row r="29" spans="1:8" s="202" customFormat="1" ht="49.5" customHeight="1">
      <c r="A29" s="249" t="s">
        <v>86</v>
      </c>
      <c r="B29" s="249"/>
      <c r="C29" s="249"/>
      <c r="D29" s="249"/>
      <c r="E29" s="249"/>
      <c r="F29" s="249"/>
      <c r="G29" s="249"/>
      <c r="H29" s="249"/>
    </row>
    <row r="30" s="202" customFormat="1" ht="12.75" hidden="1"/>
    <row r="31" s="202" customFormat="1" ht="12.75" hidden="1"/>
    <row r="32" s="202" customFormat="1" ht="12.75" hidden="1"/>
    <row r="33" s="202" customFormat="1" ht="12.75" hidden="1"/>
    <row r="34" s="202" customFormat="1" ht="12.75" hidden="1"/>
    <row r="35" s="202" customFormat="1" ht="12.75" hidden="1"/>
    <row r="36" s="202" customFormat="1" ht="12.75" hidden="1"/>
    <row r="37" s="202" customFormat="1" ht="12.75" hidden="1"/>
    <row r="38" s="202" customFormat="1" ht="12.75" hidden="1"/>
    <row r="39" s="202" customFormat="1" ht="12.75" hidden="1"/>
    <row r="40" s="202" customFormat="1" ht="12.75" hidden="1"/>
    <row r="41" s="202" customFormat="1" ht="12.75" hidden="1"/>
    <row r="42" s="202" customFormat="1" ht="12.75" hidden="1"/>
    <row r="43" s="202" customFormat="1" ht="12.75" hidden="1"/>
    <row r="44" s="202" customFormat="1" ht="12.75" hidden="1"/>
    <row r="45" s="202" customFormat="1" ht="12.75" hidden="1"/>
    <row r="46" s="202" customFormat="1" ht="12.75" hidden="1"/>
    <row r="47" s="202" customFormat="1" ht="12.75" hidden="1"/>
    <row r="48" s="202" customFormat="1" ht="12.75" hidden="1"/>
    <row r="49" s="202" customFormat="1" ht="12.75" hidden="1"/>
    <row r="50" s="202" customFormat="1" ht="12.75" hidden="1"/>
    <row r="51" s="202" customFormat="1" ht="12.75" hidden="1"/>
    <row r="52" s="202" customFormat="1" ht="12.75" hidden="1"/>
    <row r="53" s="202" customFormat="1" ht="12.75" hidden="1"/>
  </sheetData>
  <sheetProtection password="C79A" sheet="1" objects="1" scenarios="1"/>
  <mergeCells count="28">
    <mergeCell ref="A2:H2"/>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36">
      <selection activeCell="A48" sqref="A48"/>
    </sheetView>
  </sheetViews>
  <sheetFormatPr defaultColWidth="9.140625" defaultRowHeight="12.75" zeroHeight="1"/>
  <cols>
    <col min="1" max="1" width="96.7109375" style="23" customWidth="1"/>
    <col min="2" max="16384" width="0" style="23" hidden="1" customWidth="1"/>
  </cols>
  <sheetData>
    <row r="1" ht="24.75" customHeight="1">
      <c r="A1" s="201" t="s">
        <v>772</v>
      </c>
    </row>
    <row r="2" ht="12.75"/>
    <row r="3" ht="51">
      <c r="A3" s="199" t="s">
        <v>831</v>
      </c>
    </row>
    <row r="4" ht="3" customHeight="1"/>
    <row r="5" ht="25.5">
      <c r="A5" s="199" t="s">
        <v>832</v>
      </c>
    </row>
    <row r="6" ht="3" customHeight="1">
      <c r="A6" s="199"/>
    </row>
    <row r="7" ht="38.25">
      <c r="A7" s="199" t="s">
        <v>834</v>
      </c>
    </row>
    <row r="8" ht="3" customHeight="1">
      <c r="A8" s="199"/>
    </row>
    <row r="9" ht="25.5">
      <c r="A9" s="199" t="s">
        <v>786</v>
      </c>
    </row>
    <row r="10" ht="3" customHeight="1">
      <c r="A10" s="199"/>
    </row>
    <row r="11" ht="25.5">
      <c r="A11" s="200" t="s">
        <v>835</v>
      </c>
    </row>
    <row r="12" ht="19.5" customHeight="1">
      <c r="A12" s="199"/>
    </row>
    <row r="13" ht="12.75">
      <c r="A13" s="200" t="s">
        <v>773</v>
      </c>
    </row>
    <row r="14" ht="9.75" customHeight="1">
      <c r="A14" s="199"/>
    </row>
    <row r="15" ht="84.75" customHeight="1">
      <c r="A15" s="199" t="s">
        <v>774</v>
      </c>
    </row>
    <row r="16" ht="3" customHeight="1">
      <c r="A16" s="199"/>
    </row>
    <row r="17" ht="12.75">
      <c r="A17" s="199" t="s">
        <v>810</v>
      </c>
    </row>
    <row r="18" ht="3" customHeight="1">
      <c r="A18" s="199"/>
    </row>
    <row r="19" ht="12.75">
      <c r="A19" s="199" t="s">
        <v>811</v>
      </c>
    </row>
    <row r="20" ht="3" customHeight="1">
      <c r="A20" s="199"/>
    </row>
    <row r="21" ht="25.5">
      <c r="A21" s="199" t="s">
        <v>812</v>
      </c>
    </row>
    <row r="22" ht="3" customHeight="1">
      <c r="A22" s="199"/>
    </row>
    <row r="23" ht="25.5">
      <c r="A23" s="199" t="s">
        <v>813</v>
      </c>
    </row>
    <row r="24" ht="3" customHeight="1">
      <c r="A24" s="199"/>
    </row>
    <row r="25" ht="25.5">
      <c r="A25" s="199" t="s">
        <v>814</v>
      </c>
    </row>
    <row r="26" ht="3" customHeight="1">
      <c r="A26" s="199"/>
    </row>
    <row r="27" ht="51">
      <c r="A27" s="199" t="s">
        <v>815</v>
      </c>
    </row>
    <row r="28" ht="3" customHeight="1">
      <c r="A28" s="199"/>
    </row>
    <row r="29" ht="38.25">
      <c r="A29" s="199" t="s">
        <v>821</v>
      </c>
    </row>
    <row r="30" ht="3" customHeight="1">
      <c r="A30" s="199"/>
    </row>
    <row r="31" ht="25.5">
      <c r="A31" s="199" t="s">
        <v>822</v>
      </c>
    </row>
    <row r="32" ht="3" customHeight="1">
      <c r="A32" s="199"/>
    </row>
    <row r="33" ht="25.5">
      <c r="A33" s="199" t="s">
        <v>823</v>
      </c>
    </row>
    <row r="34" ht="3" customHeight="1">
      <c r="A34" s="199"/>
    </row>
    <row r="35" ht="25.5">
      <c r="A35" s="199" t="s">
        <v>836</v>
      </c>
    </row>
    <row r="36" ht="3" customHeight="1">
      <c r="A36" s="199"/>
    </row>
    <row r="37" ht="25.5">
      <c r="A37" s="199" t="s">
        <v>837</v>
      </c>
    </row>
    <row r="38" ht="3" customHeight="1">
      <c r="A38" s="199"/>
    </row>
    <row r="39" ht="63.75">
      <c r="A39" s="199" t="s">
        <v>787</v>
      </c>
    </row>
    <row r="40" ht="3" customHeight="1">
      <c r="A40" s="199"/>
    </row>
    <row r="41" ht="38.25">
      <c r="A41" s="199" t="s">
        <v>788</v>
      </c>
    </row>
    <row r="42" ht="3" customHeight="1">
      <c r="A42" s="199"/>
    </row>
    <row r="43" ht="38.25">
      <c r="A43" s="199" t="s">
        <v>789</v>
      </c>
    </row>
    <row r="44" ht="3" customHeight="1">
      <c r="A44" s="199"/>
    </row>
    <row r="45" ht="51">
      <c r="A45" s="199" t="s">
        <v>838</v>
      </c>
    </row>
    <row r="46" ht="3" customHeight="1">
      <c r="A46" s="199"/>
    </row>
    <row r="47" ht="108.75" customHeight="1">
      <c r="A47" s="199" t="s">
        <v>784</v>
      </c>
    </row>
    <row r="48" ht="59.25" customHeight="1">
      <c r="A48" s="199" t="s">
        <v>785</v>
      </c>
    </row>
    <row r="49" ht="51">
      <c r="A49" s="199" t="s">
        <v>110</v>
      </c>
    </row>
    <row r="50" ht="3" customHeight="1">
      <c r="A50" s="199"/>
    </row>
    <row r="51" ht="51">
      <c r="A51" s="199" t="s">
        <v>790</v>
      </c>
    </row>
    <row r="52" ht="3" customHeight="1">
      <c r="A52" s="199"/>
    </row>
    <row r="53" ht="38.25">
      <c r="A53" s="199" t="s">
        <v>791</v>
      </c>
    </row>
    <row r="54" ht="3" customHeight="1">
      <c r="A54" s="199"/>
    </row>
    <row r="55" ht="38.25">
      <c r="A55" s="199" t="s">
        <v>792</v>
      </c>
    </row>
    <row r="56" ht="19.5" customHeight="1">
      <c r="A56" s="199"/>
    </row>
    <row r="57" ht="12.75">
      <c r="A57" s="200" t="s">
        <v>111</v>
      </c>
    </row>
    <row r="58" ht="9.75" customHeight="1">
      <c r="A58" s="199"/>
    </row>
    <row r="59" ht="25.5">
      <c r="A59" s="199" t="s">
        <v>112</v>
      </c>
    </row>
    <row r="60" ht="3" customHeight="1">
      <c r="A60" s="199"/>
    </row>
    <row r="61" ht="38.25">
      <c r="A61" s="199" t="s">
        <v>113</v>
      </c>
    </row>
    <row r="62" ht="3" customHeight="1">
      <c r="A62" s="199"/>
    </row>
    <row r="63" ht="51">
      <c r="A63" s="199" t="s">
        <v>114</v>
      </c>
    </row>
    <row r="64" ht="19.5" customHeight="1">
      <c r="A64" s="199"/>
    </row>
    <row r="65" ht="12.75">
      <c r="A65" s="200" t="s">
        <v>839</v>
      </c>
    </row>
    <row r="66" ht="9.75" customHeight="1">
      <c r="A66" s="199"/>
    </row>
    <row r="67" ht="25.5">
      <c r="A67" s="199" t="s">
        <v>840</v>
      </c>
    </row>
    <row r="68" ht="3" customHeight="1">
      <c r="A68" s="199"/>
    </row>
    <row r="69" ht="25.5">
      <c r="A69" s="199" t="s">
        <v>841</v>
      </c>
    </row>
    <row r="70" ht="3" customHeight="1">
      <c r="A70" s="199"/>
    </row>
    <row r="71" ht="12.75">
      <c r="A71" s="199" t="s">
        <v>842</v>
      </c>
    </row>
    <row r="72" ht="19.5" customHeight="1">
      <c r="A72" s="199"/>
    </row>
    <row r="73" ht="12.75">
      <c r="A73" s="200" t="s">
        <v>804</v>
      </c>
    </row>
    <row r="74" ht="9.75" customHeight="1">
      <c r="A74" s="199"/>
    </row>
    <row r="75" ht="38.25">
      <c r="A75" s="199" t="s">
        <v>805</v>
      </c>
    </row>
    <row r="76" ht="3" customHeight="1">
      <c r="A76" s="199"/>
    </row>
    <row r="77" ht="25.5">
      <c r="A77" s="199" t="s">
        <v>845</v>
      </c>
    </row>
    <row r="78" ht="3" customHeight="1">
      <c r="A78" s="199"/>
    </row>
    <row r="79" ht="12.75">
      <c r="A79" s="199" t="s">
        <v>846</v>
      </c>
    </row>
    <row r="80" ht="19.5" customHeight="1">
      <c r="A80" s="199"/>
    </row>
    <row r="81" ht="12.75">
      <c r="A81" s="200" t="s">
        <v>806</v>
      </c>
    </row>
    <row r="82" ht="9.75" customHeight="1">
      <c r="A82" s="199"/>
    </row>
    <row r="83" ht="51">
      <c r="A83" s="200" t="s">
        <v>807</v>
      </c>
    </row>
    <row r="84" ht="3" customHeight="1">
      <c r="A84" s="199"/>
    </row>
    <row r="85" ht="12.75">
      <c r="A85" s="199" t="s">
        <v>7</v>
      </c>
    </row>
    <row r="86" ht="3" customHeight="1">
      <c r="A86" s="199"/>
    </row>
    <row r="87" ht="25.5">
      <c r="A87" s="199" t="s">
        <v>8</v>
      </c>
    </row>
    <row r="88" ht="3" customHeight="1">
      <c r="A88" s="199"/>
    </row>
    <row r="89" ht="51">
      <c r="A89" s="199" t="s">
        <v>9</v>
      </c>
    </row>
    <row r="90" ht="3" customHeight="1">
      <c r="A90" s="199"/>
    </row>
    <row r="91" ht="25.5">
      <c r="A91" s="199" t="s">
        <v>10</v>
      </c>
    </row>
    <row r="92" ht="3" customHeight="1">
      <c r="A92" s="199"/>
    </row>
    <row r="93" ht="25.5">
      <c r="A93" s="199" t="s">
        <v>808</v>
      </c>
    </row>
    <row r="94" ht="3" customHeight="1">
      <c r="A94" s="199"/>
    </row>
    <row r="95" ht="25.5">
      <c r="A95" s="199" t="s">
        <v>11</v>
      </c>
    </row>
    <row r="96" ht="3" customHeight="1">
      <c r="A96" s="199"/>
    </row>
    <row r="97" ht="25.5">
      <c r="A97" s="199" t="s">
        <v>12</v>
      </c>
    </row>
    <row r="98" ht="3" customHeight="1">
      <c r="A98" s="199"/>
    </row>
    <row r="99" ht="25.5">
      <c r="A99" s="199" t="s">
        <v>13</v>
      </c>
    </row>
    <row r="100" ht="3" customHeight="1">
      <c r="A100" s="199"/>
    </row>
    <row r="101" ht="51">
      <c r="A101" s="199" t="s">
        <v>809</v>
      </c>
    </row>
    <row r="102" ht="3" customHeight="1">
      <c r="A102" s="199"/>
    </row>
    <row r="103" ht="38.25">
      <c r="A103" s="199" t="s">
        <v>14</v>
      </c>
    </row>
    <row r="104" ht="19.5" customHeight="1">
      <c r="A104" s="199"/>
    </row>
    <row r="105" ht="12.75">
      <c r="A105" s="200" t="s">
        <v>847</v>
      </c>
    </row>
    <row r="106" ht="12.75">
      <c r="A106" s="199"/>
    </row>
    <row r="107" ht="51">
      <c r="A107" s="200" t="s">
        <v>848</v>
      </c>
    </row>
    <row r="108" ht="3" customHeight="1">
      <c r="A108" s="199"/>
    </row>
    <row r="109" ht="38.25">
      <c r="A109" s="199" t="s">
        <v>15</v>
      </c>
    </row>
    <row r="110" ht="3" customHeight="1">
      <c r="A110" s="199"/>
    </row>
    <row r="111" ht="25.5">
      <c r="A111" s="199" t="s">
        <v>16</v>
      </c>
    </row>
    <row r="112" ht="3" customHeight="1">
      <c r="A112" s="199"/>
    </row>
    <row r="113" ht="38.25">
      <c r="A113" s="199" t="s">
        <v>17</v>
      </c>
    </row>
    <row r="114" ht="3" customHeight="1">
      <c r="A114" s="199"/>
    </row>
    <row r="115" ht="38.25">
      <c r="A115" s="199" t="s">
        <v>18</v>
      </c>
    </row>
    <row r="116" ht="3" customHeight="1">
      <c r="A116" s="199"/>
    </row>
    <row r="117" ht="38.25">
      <c r="A117" s="199" t="s">
        <v>19</v>
      </c>
    </row>
    <row r="118" ht="3" customHeight="1">
      <c r="A118" s="199"/>
    </row>
    <row r="119" ht="25.5">
      <c r="A119" s="199" t="s">
        <v>20</v>
      </c>
    </row>
    <row r="120" ht="3" customHeight="1">
      <c r="A120" s="199"/>
    </row>
    <row r="121" ht="25.5">
      <c r="A121" s="199" t="s">
        <v>101</v>
      </c>
    </row>
    <row r="122" ht="3" customHeight="1">
      <c r="A122" s="199"/>
    </row>
    <row r="123" ht="25.5">
      <c r="A123" s="199" t="s">
        <v>102</v>
      </c>
    </row>
    <row r="124" ht="3" customHeight="1">
      <c r="A124" s="199"/>
    </row>
    <row r="125" ht="38.25">
      <c r="A125" s="199" t="s">
        <v>103</v>
      </c>
    </row>
    <row r="126" ht="3" customHeight="1">
      <c r="A126" s="199"/>
    </row>
    <row r="127" ht="38.25">
      <c r="A127" s="199" t="s">
        <v>104</v>
      </c>
    </row>
    <row r="128" ht="3" customHeight="1">
      <c r="A128" s="199"/>
    </row>
    <row r="129" ht="25.5">
      <c r="A129" s="199" t="s">
        <v>106</v>
      </c>
    </row>
    <row r="130" ht="3" customHeight="1">
      <c r="A130" s="199"/>
    </row>
    <row r="131" ht="38.25">
      <c r="A131" s="199" t="s">
        <v>107</v>
      </c>
    </row>
    <row r="132" ht="3" customHeight="1">
      <c r="A132" s="199"/>
    </row>
    <row r="133" ht="25.5">
      <c r="A133" s="199" t="s">
        <v>108</v>
      </c>
    </row>
    <row r="134" ht="3" customHeight="1">
      <c r="A134" s="199"/>
    </row>
    <row r="135" ht="25.5">
      <c r="A135" s="199" t="s">
        <v>109</v>
      </c>
    </row>
    <row r="136" ht="12.75">
      <c r="A136" s="199"/>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40" sqref="K40"/>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5" t="s">
        <v>115</v>
      </c>
      <c r="B1" s="235"/>
      <c r="C1" s="235"/>
      <c r="D1" s="235"/>
      <c r="E1" s="235"/>
      <c r="F1" s="235"/>
      <c r="G1" s="235"/>
      <c r="H1" s="235"/>
      <c r="I1" s="235"/>
      <c r="J1" s="235"/>
      <c r="K1" s="235"/>
      <c r="L1" s="235"/>
      <c r="M1" s="235"/>
      <c r="N1" s="235"/>
      <c r="O1" s="235"/>
      <c r="P1" s="236"/>
      <c r="Q1" s="236"/>
      <c r="R1" s="236"/>
      <c r="S1" s="236"/>
      <c r="T1" s="236"/>
      <c r="U1" s="236"/>
    </row>
    <row r="2" ht="9.75" customHeight="1"/>
    <row r="3" spans="1:21" ht="34.5" customHeight="1">
      <c r="A3" s="2" t="s">
        <v>116</v>
      </c>
      <c r="I3" s="3" t="s">
        <v>117</v>
      </c>
      <c r="J3" s="4"/>
      <c r="K3" s="276">
        <f>SUM(Skriveni!F2:F354)+SUM(Skriveni!H3:H356)</f>
        <v>179458985.99140003</v>
      </c>
      <c r="L3" s="277"/>
      <c r="M3" s="277"/>
      <c r="N3" s="277"/>
      <c r="O3" s="277"/>
      <c r="Q3" s="273" t="s">
        <v>377</v>
      </c>
      <c r="R3" s="274"/>
      <c r="S3" s="274"/>
      <c r="T3" s="274"/>
      <c r="U3" s="275"/>
    </row>
    <row r="4" spans="1:2" ht="10.5" customHeight="1">
      <c r="A4" s="5"/>
      <c r="B4" s="5"/>
    </row>
    <row r="5" spans="2:21" ht="18" customHeight="1">
      <c r="B5" s="6"/>
      <c r="E5" s="7" t="s">
        <v>118</v>
      </c>
      <c r="G5" s="217" t="str">
        <f>Tablica_A!G5</f>
        <v>NE</v>
      </c>
      <c r="H5" s="6"/>
      <c r="I5" s="6"/>
      <c r="J5" s="8"/>
      <c r="K5" s="8"/>
      <c r="L5" s="8"/>
      <c r="M5" s="8"/>
      <c r="N5" s="8"/>
      <c r="O5" s="8"/>
      <c r="Q5" s="7" t="s">
        <v>119</v>
      </c>
      <c r="S5" s="239" t="str">
        <f>Tablica_A!S5</f>
        <v>03015904</v>
      </c>
      <c r="T5" s="239"/>
      <c r="U5" s="239"/>
    </row>
    <row r="6" spans="5:21" ht="18" customHeight="1">
      <c r="E6" s="9" t="s">
        <v>120</v>
      </c>
      <c r="G6" s="216" t="str">
        <f>Tablica_A!G7</f>
        <v>2007-06</v>
      </c>
      <c r="H6" s="6"/>
      <c r="I6" s="6"/>
      <c r="J6" s="8"/>
      <c r="K6" s="8"/>
      <c r="L6" s="8"/>
      <c r="M6" s="8"/>
      <c r="N6" s="8"/>
      <c r="O6" s="8"/>
      <c r="Q6" s="7" t="s">
        <v>121</v>
      </c>
      <c r="S6" s="239" t="str">
        <f>Tablica_A!S7</f>
        <v>010000486</v>
      </c>
      <c r="T6" s="239"/>
      <c r="U6" s="239"/>
    </row>
    <row r="7" spans="2:21" ht="18" customHeight="1">
      <c r="B7" s="9"/>
      <c r="C7" s="9" t="s">
        <v>122</v>
      </c>
      <c r="D7" s="9"/>
      <c r="E7" s="255" t="str">
        <f>Tablica_A!E9</f>
        <v>PODRAVSKA BANKA d.d.</v>
      </c>
      <c r="F7" s="237"/>
      <c r="G7" s="237"/>
      <c r="H7" s="237"/>
      <c r="I7" s="237"/>
      <c r="J7" s="237"/>
      <c r="K7" s="237"/>
      <c r="L7" s="237"/>
      <c r="M7" s="237"/>
      <c r="N7" s="237"/>
      <c r="O7" s="237"/>
      <c r="P7" s="237"/>
      <c r="Q7" s="237"/>
      <c r="R7" s="237"/>
      <c r="S7" s="237"/>
      <c r="T7" s="237"/>
      <c r="U7" s="237"/>
    </row>
    <row r="8" spans="1:21" ht="15" customHeight="1">
      <c r="A8" s="232" t="s">
        <v>123</v>
      </c>
      <c r="B8" s="233"/>
      <c r="C8" s="233"/>
      <c r="D8" s="233"/>
      <c r="E8" s="233"/>
      <c r="F8" s="10"/>
      <c r="G8" s="255" t="str">
        <f>Tablica_A!G11&amp;" "&amp;Tablica_A!I11&amp;" "&amp;Tablica_A!O11</f>
        <v>48000 KOPRIVNICA OPATIČKA 3</v>
      </c>
      <c r="H8" s="267"/>
      <c r="I8" s="267"/>
      <c r="J8" s="267"/>
      <c r="K8" s="267"/>
      <c r="L8" s="267"/>
      <c r="M8" s="267"/>
      <c r="N8" s="267"/>
      <c r="O8" s="267"/>
      <c r="P8" s="267"/>
      <c r="Q8" s="267"/>
      <c r="R8" s="267"/>
      <c r="S8" s="267"/>
      <c r="T8" s="267"/>
      <c r="U8" s="267"/>
    </row>
    <row r="9" spans="1:21" ht="15">
      <c r="A9" s="11"/>
      <c r="B9" s="12"/>
      <c r="C9" s="11"/>
      <c r="D9" s="13"/>
      <c r="E9" s="9" t="s">
        <v>124</v>
      </c>
      <c r="F9" s="11"/>
      <c r="G9" s="255" t="str">
        <f>Tablica_A!G13</f>
        <v>048655115</v>
      </c>
      <c r="H9" s="255"/>
      <c r="I9" s="255"/>
      <c r="O9" s="7" t="s">
        <v>125</v>
      </c>
      <c r="P9" s="14"/>
      <c r="Q9" s="238" t="str">
        <f>Tablica_A!Q13</f>
        <v>048622542</v>
      </c>
      <c r="R9" s="239"/>
      <c r="S9" s="239"/>
      <c r="T9" s="239"/>
      <c r="U9" s="239"/>
    </row>
    <row r="10" spans="1:21" ht="15">
      <c r="A10" s="11"/>
      <c r="B10" s="9"/>
      <c r="C10" s="9"/>
      <c r="D10" s="9"/>
      <c r="E10" s="9" t="s">
        <v>126</v>
      </c>
      <c r="F10" s="12"/>
      <c r="G10" s="256" t="str">
        <f>Tablica_A!G15</f>
        <v>www.poba.hr</v>
      </c>
      <c r="H10" s="237"/>
      <c r="I10" s="237"/>
      <c r="J10" s="237"/>
      <c r="K10" s="237"/>
      <c r="L10" s="237"/>
      <c r="M10" s="237"/>
      <c r="N10" s="237"/>
      <c r="O10" s="15"/>
      <c r="P10" s="16"/>
      <c r="Q10" s="17"/>
      <c r="S10" s="7" t="s">
        <v>127</v>
      </c>
      <c r="U10" s="18">
        <f>Tablica_A!U15</f>
        <v>32874</v>
      </c>
    </row>
    <row r="11" spans="1:21" ht="15">
      <c r="A11" s="11"/>
      <c r="B11" s="9"/>
      <c r="C11" s="9"/>
      <c r="D11" s="9"/>
      <c r="E11" s="9" t="s">
        <v>128</v>
      </c>
      <c r="F11" s="12"/>
      <c r="G11" s="256" t="str">
        <f>Tablica_A!G17</f>
        <v>info@poba.hr</v>
      </c>
      <c r="H11" s="237"/>
      <c r="I11" s="237"/>
      <c r="J11" s="237"/>
      <c r="K11" s="237"/>
      <c r="L11" s="237"/>
      <c r="M11" s="237"/>
      <c r="N11" s="237"/>
      <c r="O11" s="15"/>
      <c r="P11" s="16"/>
      <c r="Q11" s="17"/>
      <c r="S11" s="7" t="s">
        <v>129</v>
      </c>
      <c r="U11" s="219">
        <f>Tablica_A!U17</f>
        <v>0</v>
      </c>
    </row>
    <row r="12" spans="1:21" ht="15">
      <c r="A12" s="279" t="s">
        <v>130</v>
      </c>
      <c r="B12" s="279"/>
      <c r="C12" s="279"/>
      <c r="D12" s="279"/>
      <c r="E12" s="279"/>
      <c r="F12" s="12"/>
      <c r="G12" s="220">
        <f>Tablica_A!G19</f>
        <v>23</v>
      </c>
      <c r="H12" s="6"/>
      <c r="I12" s="6"/>
      <c r="N12" s="6"/>
      <c r="P12" s="6"/>
      <c r="Q12" s="6"/>
      <c r="S12" s="9" t="s">
        <v>131</v>
      </c>
      <c r="T12" s="6"/>
      <c r="U12" s="219">
        <f>Tablica_A!U19</f>
        <v>354</v>
      </c>
    </row>
    <row r="13" spans="1:21" ht="15">
      <c r="A13" s="19"/>
      <c r="B13" s="12"/>
      <c r="C13" s="9" t="s">
        <v>132</v>
      </c>
      <c r="D13" s="12"/>
      <c r="E13" s="218" t="str">
        <f>Tablica_A!E21</f>
        <v>65121</v>
      </c>
      <c r="K13" s="7" t="s">
        <v>133</v>
      </c>
      <c r="M13" s="256" t="str">
        <f>Tablica_A!M21</f>
        <v>POSLOVNO BANKARSTVO</v>
      </c>
      <c r="N13" s="237"/>
      <c r="O13" s="237"/>
      <c r="P13" s="237"/>
      <c r="Q13" s="237"/>
      <c r="R13" s="237"/>
      <c r="S13" s="237"/>
      <c r="T13" s="237"/>
      <c r="U13" s="237"/>
    </row>
    <row r="14" spans="1:21" ht="15">
      <c r="A14" s="7" t="s">
        <v>134</v>
      </c>
      <c r="C14" s="256" t="str">
        <f>Tablica_A!C23</f>
        <v>2386002-1000010160</v>
      </c>
      <c r="D14" s="255"/>
      <c r="E14" s="255"/>
      <c r="F14" s="11"/>
      <c r="G14" s="263" t="s">
        <v>135</v>
      </c>
      <c r="H14" s="278"/>
      <c r="I14" s="278"/>
      <c r="J14" s="278"/>
      <c r="K14" s="278"/>
      <c r="M14" s="256" t="str">
        <f>Tablica_A!M23</f>
        <v>HRVATSKA NARODNA BANKA</v>
      </c>
      <c r="N14" s="237"/>
      <c r="O14" s="237"/>
      <c r="P14" s="237"/>
      <c r="Q14" s="237"/>
      <c r="R14" s="237"/>
      <c r="S14" s="237"/>
      <c r="T14" s="237"/>
      <c r="U14" s="237"/>
    </row>
    <row r="15" spans="1:21" ht="48.75" customHeight="1">
      <c r="A15" s="20" t="s">
        <v>136</v>
      </c>
      <c r="B15" s="21"/>
      <c r="C15" s="229" t="str">
        <f>Tablica_A!C29&amp;" "&amp;Tablica_A!C31&amp;" "&amp;Tablica_A!C33&amp;" "&amp;Tablica_A!C35&amp;" "&amp;Tablica_A!C37&amp;" "&amp;Tablica_A!C39&amp;" "&amp;Tablica_A!C41&amp;" "&amp;Tablica_A!C43&amp;" "&amp;Tablica_A!C45&amp;" "&amp;Tablica_A!C47&amp;" "&amp;Tablica_A!C49&amp;" "&amp;Tablica_A!C51</f>
        <v>JULIO KURUC MARIJAN MARUŠIĆ DAVORKA JAKIR         MORENO MARSON, SANDA FUČEK-ŠANJIĆ</v>
      </c>
      <c r="D15" s="230"/>
      <c r="E15" s="230"/>
      <c r="F15" s="230"/>
      <c r="G15" s="230"/>
      <c r="H15" s="230"/>
      <c r="I15" s="230"/>
      <c r="J15" s="230"/>
      <c r="K15" s="230"/>
      <c r="L15" s="230"/>
      <c r="M15" s="230"/>
      <c r="N15" s="230"/>
      <c r="O15" s="230"/>
      <c r="P15" s="230"/>
      <c r="Q15" s="230"/>
      <c r="R15" s="230"/>
      <c r="S15" s="230"/>
      <c r="T15" s="230"/>
      <c r="U15" s="231"/>
    </row>
    <row r="16" spans="1:21" ht="63.75" customHeight="1">
      <c r="A16" s="20" t="s">
        <v>137</v>
      </c>
      <c r="B16" s="21"/>
      <c r="C16" s="229"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MILJAN TODOROVIĆ ĐURO PREDOVIĆ SIGILFREDO MONTINARI DARIO MONTINARI DOLLY PREDOVIĆ FILIPPO DISERTORI MAURIZIO DALLOCCHIO         </v>
      </c>
      <c r="D16" s="230"/>
      <c r="E16" s="230"/>
      <c r="F16" s="230"/>
      <c r="G16" s="230"/>
      <c r="H16" s="230"/>
      <c r="I16" s="230"/>
      <c r="J16" s="230"/>
      <c r="K16" s="230"/>
      <c r="L16" s="230"/>
      <c r="M16" s="230"/>
      <c r="N16" s="230"/>
      <c r="O16" s="230"/>
      <c r="P16" s="230"/>
      <c r="Q16" s="230"/>
      <c r="R16" s="230"/>
      <c r="S16" s="230"/>
      <c r="T16" s="230"/>
      <c r="U16" s="231"/>
    </row>
    <row r="17" spans="1:21" ht="48.75" customHeight="1">
      <c r="A17" s="20" t="s">
        <v>138</v>
      </c>
      <c r="B17" s="21"/>
      <c r="C17" s="229" t="str">
        <f>Tablica_A!C95&amp;" "&amp;Tablica_A!C97&amp;" "&amp;Tablica_A!C99&amp;" "&amp;Tablica_A!C101&amp;" "&amp;Tablica_A!C103&amp;" "&amp;Tablica_A!C105&amp;" "&amp;Tablica_A!C107&amp;" "&amp;Tablica_A!C109&amp;" "&amp;Tablica_A!C111&amp;" "&amp;Tablica_A!C113</f>
        <v>LORENZO GORGONI ASSICURAZIONI GENERALI S.P.A. CERERE S.R.L. ANTONIA GORGONI MILJAN TODOROVIĆ SIGILFREDO MONTINARI DARIO MONTINARI PIERO MONTINARI ANDREA MONTINARI POBA D.D. SKRBNIČKI ZBIRNI RAČUN</v>
      </c>
      <c r="D17" s="230"/>
      <c r="E17" s="230"/>
      <c r="F17" s="230"/>
      <c r="G17" s="230"/>
      <c r="H17" s="230"/>
      <c r="I17" s="230"/>
      <c r="J17" s="230"/>
      <c r="K17" s="230"/>
      <c r="L17" s="230"/>
      <c r="M17" s="230"/>
      <c r="N17" s="230"/>
      <c r="O17" s="230"/>
      <c r="P17" s="230"/>
      <c r="Q17" s="230"/>
      <c r="R17" s="230"/>
      <c r="S17" s="230"/>
      <c r="T17" s="230"/>
      <c r="U17" s="231"/>
    </row>
    <row r="18" spans="1:21" ht="13.5" customHeight="1">
      <c r="A18" s="280" t="s">
        <v>139</v>
      </c>
      <c r="B18" s="281"/>
      <c r="C18" s="281"/>
      <c r="E18" s="24" t="s">
        <v>140</v>
      </c>
      <c r="F18" s="25"/>
      <c r="G18" s="24" t="s">
        <v>141</v>
      </c>
      <c r="H18" s="25"/>
      <c r="I18" s="24" t="s">
        <v>142</v>
      </c>
      <c r="J18" s="25"/>
      <c r="K18" s="24" t="s">
        <v>143</v>
      </c>
      <c r="L18" s="26"/>
      <c r="M18" s="24" t="s">
        <v>144</v>
      </c>
      <c r="N18" s="25"/>
      <c r="O18" s="24" t="s">
        <v>145</v>
      </c>
      <c r="P18" s="25"/>
      <c r="Q18" s="24" t="s">
        <v>146</v>
      </c>
      <c r="R18" s="25"/>
      <c r="S18" s="24" t="s">
        <v>147</v>
      </c>
      <c r="T18" s="26"/>
      <c r="U18" s="27" t="s">
        <v>148</v>
      </c>
    </row>
    <row r="19" spans="1:21" ht="13.5" customHeight="1">
      <c r="A19" s="271" t="s">
        <v>149</v>
      </c>
      <c r="B19" s="14"/>
      <c r="C19" s="7" t="s">
        <v>150</v>
      </c>
      <c r="D19" s="28"/>
      <c r="E19" s="221">
        <f>Tablica_A!K121</f>
        <v>107256</v>
      </c>
      <c r="F19" s="29"/>
      <c r="G19" s="221">
        <f>Tablica_A!K123</f>
        <v>40000</v>
      </c>
      <c r="H19" s="29"/>
      <c r="I19" s="221">
        <f>Tablica_A!K125</f>
        <v>10000</v>
      </c>
      <c r="J19" s="30"/>
      <c r="K19" s="221">
        <f>Tablica_A!K127</f>
        <v>3125</v>
      </c>
      <c r="L19" s="29"/>
      <c r="M19" s="221">
        <f>Tablica_A!K129</f>
        <v>160381</v>
      </c>
      <c r="N19" s="29"/>
      <c r="O19" s="221">
        <f>Tablica_A!K131</f>
        <v>100000</v>
      </c>
      <c r="P19" s="29"/>
      <c r="Q19" s="221">
        <f>Tablica_A!K133</f>
        <v>0</v>
      </c>
      <c r="R19" s="30"/>
      <c r="S19" s="221">
        <f>Tablica_A!K135</f>
        <v>0</v>
      </c>
      <c r="T19" s="30"/>
      <c r="U19" s="222">
        <f>Tablica_A!K137</f>
        <v>0</v>
      </c>
    </row>
    <row r="20" spans="1:21" ht="13.5" customHeight="1">
      <c r="A20" s="272"/>
      <c r="B20" s="14"/>
      <c r="C20" s="7" t="s">
        <v>151</v>
      </c>
      <c r="D20" s="28"/>
      <c r="E20" s="31" t="str">
        <f>Tablica_A!C121</f>
        <v>IA</v>
      </c>
      <c r="F20" s="32"/>
      <c r="G20" s="31" t="str">
        <f>Tablica_A!C123</f>
        <v>IIA</v>
      </c>
      <c r="H20" s="32"/>
      <c r="I20" s="31" t="str">
        <f>Tablica_A!C125</f>
        <v>IIB</v>
      </c>
      <c r="J20" s="33"/>
      <c r="K20" s="31" t="str">
        <f>Tablica_A!C127</f>
        <v>III</v>
      </c>
      <c r="L20" s="32"/>
      <c r="M20" s="31" t="str">
        <f>Tablica_A!C129</f>
        <v>IV</v>
      </c>
      <c r="N20" s="32"/>
      <c r="O20" s="31" t="str">
        <f>Tablica_A!C131</f>
        <v>V</v>
      </c>
      <c r="P20" s="32"/>
      <c r="Q20" s="31">
        <f>Tablica_A!C133</f>
        <v>0</v>
      </c>
      <c r="R20" s="33"/>
      <c r="S20" s="31">
        <f>Tablica_A!C135</f>
        <v>0</v>
      </c>
      <c r="T20" s="33"/>
      <c r="U20" s="34">
        <f>Tablica_A!C137</f>
        <v>0</v>
      </c>
    </row>
    <row r="21" spans="1:21" ht="13.5" customHeight="1">
      <c r="A21" s="271" t="s">
        <v>152</v>
      </c>
      <c r="B21" s="14"/>
      <c r="C21" s="7" t="s">
        <v>150</v>
      </c>
      <c r="D21" s="28"/>
      <c r="E21" s="221">
        <f>Tablica_A!U121</f>
        <v>0</v>
      </c>
      <c r="F21" s="29"/>
      <c r="G21" s="221">
        <f>Tablica_A!U123</f>
        <v>0</v>
      </c>
      <c r="H21" s="29"/>
      <c r="I21" s="221">
        <f>Tablica_A!U125</f>
        <v>0</v>
      </c>
      <c r="J21" s="30"/>
      <c r="K21" s="221">
        <f>Tablica_A!U127</f>
        <v>0</v>
      </c>
      <c r="L21" s="29"/>
      <c r="M21" s="221">
        <f>Tablica_A!U129</f>
        <v>0</v>
      </c>
      <c r="N21" s="29"/>
      <c r="O21" s="221">
        <f>Tablica_A!U131</f>
        <v>0</v>
      </c>
      <c r="P21" s="29"/>
      <c r="Q21" s="221">
        <f>Tablica_A!U133</f>
        <v>0</v>
      </c>
      <c r="R21" s="30"/>
      <c r="S21" s="221">
        <f>Tablica_A!U135</f>
        <v>0</v>
      </c>
      <c r="T21" s="30"/>
      <c r="U21" s="222">
        <f>Tablica_A!U137</f>
        <v>0</v>
      </c>
    </row>
    <row r="22" spans="1:21" ht="13.5" customHeight="1">
      <c r="A22" s="272"/>
      <c r="B22" s="14"/>
      <c r="C22" s="7" t="s">
        <v>151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783</v>
      </c>
      <c r="B23" s="14"/>
      <c r="C23" s="255" t="str">
        <f>Tablica_A!O139</f>
        <v>HRPDBARA0008</v>
      </c>
      <c r="D23" s="255"/>
      <c r="E23" s="255"/>
      <c r="F23" s="23"/>
      <c r="G23" s="23"/>
      <c r="I23" s="36" t="s">
        <v>782</v>
      </c>
      <c r="J23" s="14"/>
      <c r="K23" s="256">
        <f>Tablica_A!O141</f>
        <v>0</v>
      </c>
      <c r="L23" s="255"/>
      <c r="M23" s="255"/>
      <c r="O23" s="260" t="s">
        <v>153</v>
      </c>
      <c r="P23" s="260"/>
      <c r="Q23" s="260"/>
      <c r="R23" s="35"/>
      <c r="S23" s="261">
        <f>Tablica_A!G115</f>
        <v>168304800</v>
      </c>
      <c r="T23" s="261"/>
      <c r="U23" s="261"/>
    </row>
    <row r="24" spans="1:21" ht="38.25" customHeight="1">
      <c r="A24" s="257" t="s">
        <v>154</v>
      </c>
      <c r="B24" s="258"/>
      <c r="C24" s="258"/>
      <c r="D24" s="37"/>
      <c r="E24" s="259" t="str">
        <f>Tablica_A!E146&amp;" "&amp;Tablica_A!E148&amp;" "&amp;Tablica_A!E150&amp;" "&amp;Tablica_A!E152&amp;" "&amp;Tablica_A!E154&amp;" "&amp;Tablica_A!E156</f>
        <v>     </v>
      </c>
      <c r="F24" s="259"/>
      <c r="G24" s="259"/>
      <c r="H24" s="259"/>
      <c r="I24" s="259"/>
      <c r="J24" s="259"/>
      <c r="K24" s="259"/>
      <c r="L24" s="259"/>
      <c r="M24" s="259"/>
      <c r="N24" s="259"/>
      <c r="O24" s="259"/>
      <c r="P24" s="259"/>
      <c r="Q24" s="259"/>
      <c r="R24" s="259"/>
      <c r="S24" s="259"/>
      <c r="T24" s="259"/>
      <c r="U24" s="259"/>
    </row>
    <row r="25" spans="1:21" ht="15" customHeight="1">
      <c r="A25" s="242" t="s">
        <v>155</v>
      </c>
      <c r="B25" s="242"/>
      <c r="C25" s="242"/>
      <c r="E25" s="234" t="str">
        <f>Tablica_A!K158&amp;" "&amp;Tablica_A!K160&amp;" "&amp;Tablica_A!O160</f>
        <v>DELOITTE D.O.O. ZAGREB ZAGREB HEINZELOVA 33</v>
      </c>
      <c r="F25" s="234"/>
      <c r="G25" s="234"/>
      <c r="H25" s="234"/>
      <c r="I25" s="234"/>
      <c r="J25" s="234"/>
      <c r="K25" s="234"/>
      <c r="L25" s="234"/>
      <c r="M25" s="234"/>
      <c r="N25" s="234"/>
      <c r="O25" s="234"/>
      <c r="P25" s="234"/>
      <c r="Q25" s="234"/>
      <c r="R25" s="234"/>
      <c r="S25" s="234"/>
      <c r="T25" s="234"/>
      <c r="U25" s="234"/>
    </row>
    <row r="26" spans="1:21" ht="38.25" customHeight="1">
      <c r="A26" s="257" t="s">
        <v>156</v>
      </c>
      <c r="B26" s="258"/>
      <c r="C26" s="258"/>
      <c r="D26" s="37"/>
      <c r="E26" s="259" t="str">
        <f>Tablica_A!C165&amp;" "&amp;Tablica_A!C167&amp;" "&amp;Tablica_A!C169&amp;" "&amp;Tablica_A!C171&amp;" "&amp;Tablica_A!C173</f>
        <v>ZAGREBAČKA BURZA D.D. ZAGREB    </v>
      </c>
      <c r="F26" s="259"/>
      <c r="G26" s="259"/>
      <c r="H26" s="259"/>
      <c r="I26" s="259"/>
      <c r="J26" s="259"/>
      <c r="K26" s="259"/>
      <c r="L26" s="259"/>
      <c r="M26" s="259"/>
      <c r="N26" s="259"/>
      <c r="O26" s="259"/>
      <c r="P26" s="259"/>
      <c r="Q26" s="259"/>
      <c r="R26" s="259"/>
      <c r="S26" s="259"/>
      <c r="T26" s="259"/>
      <c r="U26" s="259"/>
    </row>
    <row r="27" spans="1:21" ht="15" customHeight="1">
      <c r="A27" s="263" t="s">
        <v>157</v>
      </c>
      <c r="B27" s="264"/>
      <c r="C27" s="264"/>
      <c r="E27" s="38" t="s">
        <v>158</v>
      </c>
      <c r="G27" s="225">
        <f>Tablica_A!G183</f>
        <v>1926</v>
      </c>
      <c r="H27" s="39"/>
      <c r="I27" s="225">
        <f>Tablica_A!G185</f>
        <v>2052.5</v>
      </c>
      <c r="J27" s="39"/>
      <c r="K27" s="225">
        <f>Tablica_A!O183</f>
        <v>0</v>
      </c>
      <c r="L27" s="39"/>
      <c r="M27" s="225">
        <f>Tablica_A!O185</f>
        <v>0</v>
      </c>
      <c r="O27" s="270" t="s">
        <v>159</v>
      </c>
      <c r="P27" s="270"/>
      <c r="Q27" s="270"/>
      <c r="R27" s="270"/>
      <c r="S27" s="270"/>
      <c r="T27" s="270"/>
      <c r="U27" s="270"/>
    </row>
    <row r="28" spans="1:21" ht="15" customHeight="1">
      <c r="A28" s="40"/>
      <c r="B28" s="40"/>
      <c r="E28" s="41" t="s">
        <v>160</v>
      </c>
      <c r="F28" s="40"/>
      <c r="G28" s="225">
        <f>Tablica_A!K183</f>
        <v>2299.9</v>
      </c>
      <c r="H28" s="39"/>
      <c r="I28" s="225">
        <f>Tablica_A!K185</f>
        <v>2332.41</v>
      </c>
      <c r="J28" s="39"/>
      <c r="K28" s="225">
        <f>Tablica_A!S183</f>
        <v>0</v>
      </c>
      <c r="L28" s="39"/>
      <c r="M28" s="225">
        <f>Tablica_A!S185</f>
        <v>0</v>
      </c>
      <c r="N28" s="42"/>
      <c r="O28" s="270"/>
      <c r="P28" s="270"/>
      <c r="Q28" s="270"/>
      <c r="R28" s="270"/>
      <c r="S28" s="270"/>
      <c r="T28" s="270"/>
      <c r="U28" s="270"/>
    </row>
    <row r="29" spans="1:21" ht="15" customHeight="1">
      <c r="A29" s="263" t="s">
        <v>161</v>
      </c>
      <c r="B29" s="264"/>
      <c r="C29" s="264"/>
      <c r="E29" s="225">
        <f>Tablica_A!G191</f>
        <v>10.8</v>
      </c>
      <c r="F29" s="43"/>
      <c r="G29" s="225">
        <f>Tablica_A!K191</f>
        <v>44.47</v>
      </c>
      <c r="H29" s="39"/>
      <c r="I29" s="225">
        <f>Tablica_A!O191</f>
        <v>14.25</v>
      </c>
      <c r="J29" s="39"/>
      <c r="K29" s="225">
        <f>Tablica_A!S191</f>
        <v>32.07</v>
      </c>
      <c r="L29" s="39"/>
      <c r="M29" s="265" t="s">
        <v>162</v>
      </c>
      <c r="N29" s="266"/>
      <c r="O29" s="266"/>
      <c r="P29" s="266"/>
      <c r="Q29" s="266"/>
      <c r="R29" s="266"/>
      <c r="S29" s="266"/>
      <c r="T29" s="266"/>
      <c r="U29" s="266"/>
    </row>
    <row r="30" spans="1:21" ht="24.75" customHeight="1">
      <c r="A30" s="263" t="s">
        <v>163</v>
      </c>
      <c r="B30" s="264"/>
      <c r="C30" s="264"/>
      <c r="D30" s="40"/>
      <c r="E30" s="225">
        <f>Tablica_A!K198</f>
        <v>0</v>
      </c>
      <c r="F30" s="43"/>
      <c r="G30" s="225">
        <f>Tablica_A!O198</f>
        <v>0</v>
      </c>
      <c r="H30" s="39"/>
      <c r="I30" s="225">
        <f>Tablica_A!S198</f>
        <v>0</v>
      </c>
      <c r="J30" s="39"/>
      <c r="K30" s="225">
        <f>Tablica_A!K200</f>
        <v>0</v>
      </c>
      <c r="L30" s="39"/>
      <c r="M30" s="225">
        <f>Tablica_A!O200</f>
        <v>0</v>
      </c>
      <c r="N30" s="44"/>
      <c r="O30" s="225">
        <f>Tablica_A!S200</f>
        <v>0</v>
      </c>
      <c r="Q30" s="247" t="s">
        <v>164</v>
      </c>
      <c r="R30" s="247"/>
      <c r="S30" s="247"/>
      <c r="T30" s="247"/>
      <c r="U30" s="247"/>
    </row>
    <row r="31" spans="1:21" s="35" customFormat="1" ht="15">
      <c r="A31" s="263" t="s">
        <v>165</v>
      </c>
      <c r="B31" s="264"/>
      <c r="C31" s="264"/>
      <c r="D31" s="36"/>
      <c r="E31" s="269">
        <f>Tablica_A!S193</f>
        <v>865507</v>
      </c>
      <c r="F31" s="269"/>
      <c r="G31" s="269"/>
      <c r="H31" s="1"/>
      <c r="I31" s="1"/>
      <c r="J31" s="1"/>
      <c r="K31" s="1"/>
      <c r="L31" s="1"/>
      <c r="M31" s="1"/>
      <c r="N31" s="1"/>
      <c r="O31" s="1"/>
      <c r="P31" s="1"/>
      <c r="Q31" s="1"/>
      <c r="R31" s="1"/>
      <c r="S31" s="1"/>
      <c r="T31" s="1"/>
      <c r="U31" s="1"/>
    </row>
    <row r="32" spans="1:21" s="35" customFormat="1" ht="15" customHeight="1">
      <c r="A32" s="16" t="s">
        <v>166</v>
      </c>
      <c r="B32" s="36"/>
      <c r="C32" s="36"/>
      <c r="D32" s="36"/>
      <c r="E32" s="36"/>
      <c r="G32" s="45" t="s">
        <v>167</v>
      </c>
      <c r="H32" s="46"/>
      <c r="I32" s="223">
        <f>Fintab!G8</f>
        <v>2541281</v>
      </c>
      <c r="L32" s="46"/>
      <c r="P32" s="46"/>
      <c r="Q32" s="46"/>
      <c r="S32" s="47"/>
      <c r="T32" s="36"/>
      <c r="U32" s="36" t="s">
        <v>168</v>
      </c>
    </row>
    <row r="33" spans="1:21" s="35" customFormat="1" ht="15" customHeight="1">
      <c r="A33" s="48"/>
      <c r="B33" s="22"/>
      <c r="C33" s="22"/>
      <c r="D33" s="22"/>
      <c r="G33" s="45" t="s">
        <v>169</v>
      </c>
      <c r="I33" s="224">
        <f>Fintab!I8</f>
        <v>2636523</v>
      </c>
      <c r="S33" s="45" t="s">
        <v>170</v>
      </c>
      <c r="U33" s="223">
        <f>Fintab!G71</f>
        <v>6689</v>
      </c>
    </row>
    <row r="34" spans="1:21" s="35" customFormat="1" ht="15" customHeight="1">
      <c r="A34" s="28"/>
      <c r="B34" s="22"/>
      <c r="C34" s="22"/>
      <c r="D34" s="22"/>
      <c r="E34" s="22"/>
      <c r="F34" s="22"/>
      <c r="G34" s="22"/>
      <c r="H34" s="22"/>
      <c r="I34" s="22"/>
      <c r="J34" s="22"/>
      <c r="K34" s="22"/>
      <c r="L34" s="22"/>
      <c r="M34" s="22"/>
      <c r="O34" s="22"/>
      <c r="P34" s="22"/>
      <c r="S34" s="45" t="s">
        <v>171</v>
      </c>
      <c r="T34" s="22"/>
      <c r="U34" s="223">
        <f>Fintab!H71</f>
        <v>1660</v>
      </c>
    </row>
    <row r="35" spans="1:21" s="35" customFormat="1" ht="15" customHeight="1">
      <c r="A35" s="28" t="s">
        <v>776</v>
      </c>
      <c r="B35" s="22"/>
      <c r="C35" s="22"/>
      <c r="D35" s="22"/>
      <c r="E35" s="47"/>
      <c r="F35" s="36"/>
      <c r="J35" s="22"/>
      <c r="K35" s="22"/>
      <c r="L35" s="22"/>
      <c r="M35" s="22"/>
      <c r="O35" s="22"/>
      <c r="P35" s="22"/>
      <c r="S35" s="45" t="s">
        <v>178</v>
      </c>
      <c r="U35" s="223">
        <f>Fintab!I71</f>
        <v>13493</v>
      </c>
    </row>
    <row r="36" spans="1:21" s="35" customFormat="1" ht="15" customHeight="1">
      <c r="A36" s="22"/>
      <c r="B36" s="22"/>
      <c r="C36" s="22"/>
      <c r="D36" s="22"/>
      <c r="E36" s="45" t="s">
        <v>179</v>
      </c>
      <c r="G36" s="223">
        <f>Fintab!G130</f>
        <v>228364</v>
      </c>
      <c r="K36" s="46"/>
      <c r="L36" s="46"/>
      <c r="M36" s="46"/>
      <c r="O36" s="46"/>
      <c r="P36" s="46"/>
      <c r="S36" s="45" t="s">
        <v>180</v>
      </c>
      <c r="U36" s="223">
        <f>Fintab!J71</f>
        <v>5995</v>
      </c>
    </row>
    <row r="37" spans="2:21" s="35" customFormat="1" ht="15" customHeight="1">
      <c r="B37" s="49"/>
      <c r="C37" s="49"/>
      <c r="D37" s="49"/>
      <c r="E37" s="45" t="s">
        <v>181</v>
      </c>
      <c r="F37" s="22"/>
      <c r="G37" s="223">
        <f>Fintab!H130</f>
        <v>21841</v>
      </c>
      <c r="J37" s="49"/>
      <c r="K37" s="49"/>
      <c r="L37" s="49"/>
      <c r="M37" s="49"/>
      <c r="N37" s="49"/>
      <c r="O37" s="49"/>
      <c r="P37" s="49"/>
      <c r="Q37" s="36"/>
      <c r="S37" s="50"/>
      <c r="T37" s="46"/>
      <c r="U37" s="36" t="s">
        <v>182</v>
      </c>
    </row>
    <row r="38" spans="1:21" s="35" customFormat="1" ht="15" customHeight="1">
      <c r="A38" s="48"/>
      <c r="B38" s="22"/>
      <c r="C38" s="22"/>
      <c r="D38" s="22"/>
      <c r="E38" s="45" t="s">
        <v>183</v>
      </c>
      <c r="G38" s="223">
        <f>Fintab!I130</f>
        <v>10069</v>
      </c>
      <c r="S38" s="45" t="s">
        <v>184</v>
      </c>
      <c r="T38" s="46"/>
      <c r="U38" s="224">
        <f>Fintab!G107</f>
        <v>45845</v>
      </c>
    </row>
    <row r="39" spans="5:21" s="35" customFormat="1" ht="15" customHeight="1">
      <c r="E39" s="45" t="s">
        <v>169</v>
      </c>
      <c r="G39" s="223">
        <f>Fintab!J130</f>
        <v>240136</v>
      </c>
      <c r="K39" s="22"/>
      <c r="L39" s="22"/>
      <c r="M39" s="22"/>
      <c r="O39" s="22"/>
      <c r="P39" s="22"/>
      <c r="Q39" s="22"/>
      <c r="S39" s="45" t="s">
        <v>169</v>
      </c>
      <c r="T39" s="49"/>
      <c r="U39" s="224">
        <f>Fintab!I107</f>
        <v>60023</v>
      </c>
    </row>
    <row r="40" spans="6:17" s="35" customFormat="1" ht="15" customHeight="1">
      <c r="F40" s="14"/>
      <c r="G40" s="14"/>
      <c r="H40" s="14"/>
      <c r="I40" s="51"/>
      <c r="K40" s="46"/>
      <c r="L40" s="46"/>
      <c r="M40" s="46"/>
      <c r="O40" s="46"/>
      <c r="P40" s="46"/>
      <c r="Q40" s="46"/>
    </row>
    <row r="41" spans="5:21" s="35" customFormat="1" ht="15" customHeight="1">
      <c r="E41" s="212" t="s">
        <v>530</v>
      </c>
      <c r="F41" s="14"/>
      <c r="G41" s="213"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185</v>
      </c>
      <c r="B43" s="6"/>
      <c r="C43" s="246" t="s">
        <v>816</v>
      </c>
      <c r="D43" s="268"/>
      <c r="E43" s="240"/>
      <c r="F43" s="240"/>
      <c r="G43" s="240"/>
      <c r="H43" s="241"/>
      <c r="I43" s="52" t="s">
        <v>186</v>
      </c>
      <c r="K43" s="246" t="s">
        <v>258</v>
      </c>
      <c r="L43" s="240"/>
      <c r="M43" s="241"/>
      <c r="O43" s="262" t="s">
        <v>187</v>
      </c>
      <c r="P43" s="262"/>
      <c r="Q43" s="262"/>
      <c r="R43" s="262"/>
      <c r="S43" s="262"/>
      <c r="T43" s="262"/>
      <c r="U43" s="262"/>
    </row>
    <row r="44" ht="9.75" customHeight="1"/>
    <row r="45" spans="1:13" ht="15">
      <c r="A45" s="248" t="s">
        <v>188</v>
      </c>
      <c r="B45" s="53"/>
      <c r="C45" s="246" t="s">
        <v>817</v>
      </c>
      <c r="D45" s="268"/>
      <c r="E45" s="240"/>
      <c r="F45" s="240"/>
      <c r="G45" s="240"/>
      <c r="H45" s="241"/>
      <c r="I45" s="6" t="s">
        <v>189</v>
      </c>
      <c r="K45" s="243" t="s">
        <v>819</v>
      </c>
      <c r="L45" s="244"/>
      <c r="M45" s="245"/>
    </row>
    <row r="46" spans="1:9" ht="3" customHeight="1">
      <c r="A46" s="248"/>
      <c r="B46" s="53"/>
      <c r="I46" s="6"/>
    </row>
    <row r="47" spans="1:21" ht="15">
      <c r="A47" s="248"/>
      <c r="B47" s="53"/>
      <c r="C47" s="246" t="s">
        <v>818</v>
      </c>
      <c r="D47" s="268"/>
      <c r="E47" s="240"/>
      <c r="F47" s="240"/>
      <c r="G47" s="240"/>
      <c r="H47" s="241"/>
      <c r="I47" s="6" t="s">
        <v>189</v>
      </c>
      <c r="K47" s="243" t="s">
        <v>820</v>
      </c>
      <c r="L47" s="244"/>
      <c r="M47" s="245"/>
      <c r="O47" s="54"/>
      <c r="P47" s="54"/>
      <c r="Q47" s="54"/>
      <c r="R47" s="54"/>
      <c r="S47" s="54"/>
      <c r="T47" s="54"/>
      <c r="U47" s="54"/>
    </row>
    <row r="48" spans="1:9" ht="3" customHeight="1">
      <c r="A48" s="248"/>
      <c r="B48" s="53"/>
      <c r="I48" s="6"/>
    </row>
    <row r="49" spans="1:19" ht="15">
      <c r="A49" s="248"/>
      <c r="B49" s="53"/>
      <c r="C49" s="246"/>
      <c r="D49" s="268"/>
      <c r="E49" s="240"/>
      <c r="F49" s="240"/>
      <c r="G49" s="240"/>
      <c r="H49" s="241"/>
      <c r="I49" s="6" t="s">
        <v>189</v>
      </c>
      <c r="K49" s="243"/>
      <c r="L49" s="244"/>
      <c r="M49" s="245"/>
      <c r="Q49" s="262" t="s">
        <v>190</v>
      </c>
      <c r="R49" s="262"/>
      <c r="S49" s="262"/>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12">
      <selection activeCell="K40" sqref="K4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115</v>
      </c>
      <c r="B1" s="320"/>
      <c r="C1" s="320"/>
      <c r="D1" s="320"/>
      <c r="E1" s="320"/>
      <c r="F1" s="320"/>
      <c r="G1" s="320"/>
      <c r="H1" s="320"/>
      <c r="I1" s="320"/>
      <c r="J1" s="320"/>
      <c r="K1" s="320"/>
      <c r="L1" s="320"/>
      <c r="M1" s="320"/>
      <c r="N1" s="320"/>
      <c r="O1" s="320"/>
      <c r="P1" s="321"/>
      <c r="Q1" s="321"/>
      <c r="R1" s="321"/>
      <c r="S1" s="321"/>
      <c r="T1" s="321"/>
      <c r="U1" s="321"/>
    </row>
    <row r="2" ht="9.75" customHeight="1"/>
    <row r="3" spans="1:21" ht="34.5" customHeight="1">
      <c r="A3" s="56" t="s">
        <v>191</v>
      </c>
      <c r="H3" s="57"/>
      <c r="Q3" s="273" t="s">
        <v>377</v>
      </c>
      <c r="R3" s="274"/>
      <c r="S3" s="274"/>
      <c r="T3" s="274"/>
      <c r="U3" s="275"/>
    </row>
    <row r="4" spans="1:2" ht="10.5" customHeight="1">
      <c r="A4" s="58"/>
      <c r="B4" s="58"/>
    </row>
    <row r="5" spans="2:21" ht="18" customHeight="1">
      <c r="B5" s="59"/>
      <c r="E5" s="60" t="s">
        <v>118</v>
      </c>
      <c r="G5" s="61" t="s">
        <v>31</v>
      </c>
      <c r="H5" s="59"/>
      <c r="I5" s="59"/>
      <c r="J5" s="62"/>
      <c r="K5" s="62"/>
      <c r="L5" s="62"/>
      <c r="M5" s="62"/>
      <c r="N5" s="62"/>
      <c r="O5" s="62"/>
      <c r="Q5" s="60" t="s">
        <v>119</v>
      </c>
      <c r="S5" s="322" t="s">
        <v>32</v>
      </c>
      <c r="T5" s="323"/>
      <c r="U5" s="326"/>
    </row>
    <row r="6" spans="1:15" ht="3" customHeight="1">
      <c r="A6" s="59"/>
      <c r="B6" s="59"/>
      <c r="C6" s="59"/>
      <c r="D6" s="59"/>
      <c r="E6" s="59"/>
      <c r="F6" s="59"/>
      <c r="G6" s="59"/>
      <c r="H6" s="59"/>
      <c r="I6" s="59"/>
      <c r="J6" s="63"/>
      <c r="K6" s="63"/>
      <c r="L6" s="63"/>
      <c r="M6" s="63"/>
      <c r="N6" s="63"/>
      <c r="O6" s="63"/>
    </row>
    <row r="7" spans="5:21" ht="18" customHeight="1">
      <c r="E7" s="64" t="s">
        <v>120</v>
      </c>
      <c r="G7" s="65" t="s">
        <v>25</v>
      </c>
      <c r="H7" s="59"/>
      <c r="I7" s="59"/>
      <c r="J7" s="62"/>
      <c r="K7" s="62"/>
      <c r="L7" s="62"/>
      <c r="M7" s="62"/>
      <c r="N7" s="62"/>
      <c r="O7" s="62"/>
      <c r="Q7" s="60" t="s">
        <v>121</v>
      </c>
      <c r="S7" s="322" t="s">
        <v>33</v>
      </c>
      <c r="T7" s="323"/>
      <c r="U7" s="326"/>
    </row>
    <row r="8" ht="3" customHeight="1"/>
    <row r="9" spans="2:21" ht="18" customHeight="1">
      <c r="B9" s="64"/>
      <c r="C9" s="64" t="s">
        <v>122</v>
      </c>
      <c r="D9" s="64"/>
      <c r="E9" s="243" t="s">
        <v>34</v>
      </c>
      <c r="F9" s="295"/>
      <c r="G9" s="295"/>
      <c r="H9" s="295"/>
      <c r="I9" s="295"/>
      <c r="J9" s="295"/>
      <c r="K9" s="295"/>
      <c r="L9" s="295"/>
      <c r="M9" s="295"/>
      <c r="N9" s="295"/>
      <c r="O9" s="295"/>
      <c r="P9" s="295"/>
      <c r="Q9" s="295"/>
      <c r="R9" s="295"/>
      <c r="S9" s="295"/>
      <c r="T9" s="295"/>
      <c r="U9" s="296"/>
    </row>
    <row r="10" spans="1:6" ht="3" customHeight="1">
      <c r="A10" s="59"/>
      <c r="B10" s="59"/>
      <c r="C10" s="59"/>
      <c r="D10" s="59"/>
      <c r="E10" s="59"/>
      <c r="F10" s="59"/>
    </row>
    <row r="11" spans="1:21" ht="24.75" customHeight="1">
      <c r="A11" s="333" t="s">
        <v>192</v>
      </c>
      <c r="B11" s="334"/>
      <c r="C11" s="334"/>
      <c r="D11" s="334"/>
      <c r="E11" s="334"/>
      <c r="F11" s="66"/>
      <c r="G11" s="67">
        <v>48000</v>
      </c>
      <c r="H11" s="68"/>
      <c r="I11" s="243" t="s">
        <v>35</v>
      </c>
      <c r="J11" s="282"/>
      <c r="K11" s="244"/>
      <c r="L11" s="244"/>
      <c r="M11" s="245"/>
      <c r="O11" s="243" t="s">
        <v>36</v>
      </c>
      <c r="P11" s="282"/>
      <c r="Q11" s="282"/>
      <c r="R11" s="282"/>
      <c r="S11" s="282"/>
      <c r="T11" s="282"/>
      <c r="U11" s="28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124</v>
      </c>
      <c r="F13" s="73"/>
      <c r="G13" s="243" t="s">
        <v>37</v>
      </c>
      <c r="H13" s="244"/>
      <c r="I13" s="245"/>
      <c r="O13" s="60" t="s">
        <v>125</v>
      </c>
      <c r="P13" s="75"/>
      <c r="Q13" s="322" t="s">
        <v>38</v>
      </c>
      <c r="R13" s="323"/>
      <c r="S13" s="324"/>
      <c r="T13" s="324"/>
      <c r="U13" s="325"/>
    </row>
    <row r="14" spans="1:6" ht="3" customHeight="1">
      <c r="A14" s="69"/>
      <c r="B14" s="69"/>
      <c r="C14" s="69"/>
      <c r="D14" s="69"/>
      <c r="E14" s="69"/>
      <c r="F14" s="69"/>
    </row>
    <row r="15" spans="1:21" ht="15">
      <c r="A15" s="73"/>
      <c r="B15" s="64"/>
      <c r="C15" s="64"/>
      <c r="D15" s="64"/>
      <c r="E15" s="64" t="s">
        <v>126</v>
      </c>
      <c r="F15" s="69"/>
      <c r="G15" s="243" t="s">
        <v>39</v>
      </c>
      <c r="H15" s="301"/>
      <c r="I15" s="301"/>
      <c r="J15" s="301"/>
      <c r="K15" s="301"/>
      <c r="L15" s="301"/>
      <c r="M15" s="301"/>
      <c r="N15" s="302"/>
      <c r="O15" s="76"/>
      <c r="P15" s="77"/>
      <c r="Q15" s="72"/>
      <c r="S15" s="60" t="s">
        <v>127</v>
      </c>
      <c r="U15" s="78">
        <v>32874</v>
      </c>
    </row>
    <row r="16" spans="1:17" ht="3" customHeight="1">
      <c r="A16" s="69"/>
      <c r="B16" s="69"/>
      <c r="C16" s="69"/>
      <c r="D16" s="69"/>
      <c r="E16" s="69"/>
      <c r="F16" s="69"/>
      <c r="O16" s="79"/>
      <c r="P16" s="79"/>
      <c r="Q16" s="72"/>
    </row>
    <row r="17" spans="1:21" ht="15">
      <c r="A17" s="73"/>
      <c r="B17" s="64"/>
      <c r="C17" s="64"/>
      <c r="D17" s="64"/>
      <c r="E17" s="64" t="s">
        <v>128</v>
      </c>
      <c r="F17" s="69"/>
      <c r="G17" s="243" t="s">
        <v>40</v>
      </c>
      <c r="H17" s="301"/>
      <c r="I17" s="301"/>
      <c r="J17" s="301"/>
      <c r="K17" s="301"/>
      <c r="L17" s="301"/>
      <c r="M17" s="301"/>
      <c r="N17" s="302"/>
      <c r="O17" s="76"/>
      <c r="P17" s="77"/>
      <c r="Q17" s="72"/>
      <c r="S17" s="60" t="s">
        <v>129</v>
      </c>
      <c r="U17" s="80">
        <v>0</v>
      </c>
    </row>
    <row r="18" spans="1:6" ht="3" customHeight="1">
      <c r="A18" s="69"/>
      <c r="B18" s="69"/>
      <c r="C18" s="69"/>
      <c r="D18" s="69"/>
      <c r="E18" s="69"/>
      <c r="F18" s="69"/>
    </row>
    <row r="19" spans="1:21" ht="15">
      <c r="A19" s="327" t="s">
        <v>130</v>
      </c>
      <c r="B19" s="327"/>
      <c r="C19" s="327"/>
      <c r="D19" s="327"/>
      <c r="E19" s="327"/>
      <c r="F19" s="69"/>
      <c r="G19" s="81">
        <v>23</v>
      </c>
      <c r="H19" s="59"/>
      <c r="I19" s="59"/>
      <c r="N19" s="59"/>
      <c r="P19" s="59"/>
      <c r="Q19" s="59"/>
      <c r="S19" s="64" t="s">
        <v>131</v>
      </c>
      <c r="T19" s="59"/>
      <c r="U19" s="80">
        <v>354</v>
      </c>
    </row>
    <row r="20" ht="3" customHeight="1"/>
    <row r="21" spans="1:21" ht="15">
      <c r="A21" s="82"/>
      <c r="B21" s="69"/>
      <c r="C21" s="64" t="s">
        <v>132</v>
      </c>
      <c r="D21" s="83"/>
      <c r="E21" s="61" t="s">
        <v>41</v>
      </c>
      <c r="K21" s="60" t="s">
        <v>133</v>
      </c>
      <c r="M21" s="243" t="s">
        <v>43</v>
      </c>
      <c r="N21" s="301"/>
      <c r="O21" s="301"/>
      <c r="P21" s="301"/>
      <c r="Q21" s="301"/>
      <c r="R21" s="301"/>
      <c r="S21" s="301"/>
      <c r="T21" s="301"/>
      <c r="U21" s="30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134</v>
      </c>
      <c r="C23" s="243" t="s">
        <v>42</v>
      </c>
      <c r="D23" s="244"/>
      <c r="E23" s="245"/>
      <c r="F23" s="73"/>
      <c r="G23" s="335" t="s">
        <v>135</v>
      </c>
      <c r="H23" s="336"/>
      <c r="I23" s="336"/>
      <c r="J23" s="336"/>
      <c r="K23" s="336"/>
      <c r="M23" s="243" t="s">
        <v>44</v>
      </c>
      <c r="N23" s="301"/>
      <c r="O23" s="301"/>
      <c r="P23" s="301"/>
      <c r="Q23" s="301"/>
      <c r="R23" s="301"/>
      <c r="S23" s="301"/>
      <c r="T23" s="301"/>
      <c r="U23" s="302"/>
    </row>
    <row r="24" spans="3:15" ht="3" customHeight="1">
      <c r="C24" s="73"/>
      <c r="D24" s="73"/>
      <c r="E24" s="73"/>
      <c r="F24" s="79"/>
      <c r="G24" s="79"/>
      <c r="H24" s="79"/>
      <c r="I24" s="79"/>
      <c r="J24" s="79"/>
      <c r="K24" s="79"/>
      <c r="L24" s="79"/>
      <c r="M24" s="79"/>
      <c r="N24" s="79"/>
      <c r="O24" s="79"/>
    </row>
    <row r="25" spans="1:3" ht="27" customHeight="1">
      <c r="A25" s="87" t="s">
        <v>193</v>
      </c>
      <c r="B25" s="88"/>
      <c r="C25" s="88"/>
    </row>
    <row r="26" spans="3:21" ht="12.75" customHeight="1">
      <c r="C26" s="294" t="s">
        <v>194</v>
      </c>
      <c r="D26" s="316"/>
      <c r="E26" s="316"/>
      <c r="F26" s="316"/>
      <c r="G26" s="316"/>
      <c r="H26" s="90"/>
      <c r="I26" s="317" t="s">
        <v>195</v>
      </c>
      <c r="J26" s="73"/>
      <c r="K26" s="294" t="s">
        <v>196</v>
      </c>
      <c r="L26" s="294"/>
      <c r="M26" s="294"/>
      <c r="N26" s="294"/>
      <c r="O26" s="294"/>
      <c r="P26" s="294"/>
      <c r="Q26" s="294"/>
      <c r="R26" s="294"/>
      <c r="S26" s="294"/>
      <c r="T26" s="294"/>
      <c r="U26" s="294"/>
    </row>
    <row r="27" spans="3:21" ht="12.75" customHeight="1">
      <c r="C27" s="316"/>
      <c r="D27" s="316"/>
      <c r="E27" s="316"/>
      <c r="F27" s="316"/>
      <c r="G27" s="316"/>
      <c r="H27" s="90"/>
      <c r="I27" s="318"/>
      <c r="J27" s="91"/>
      <c r="K27" s="294" t="s">
        <v>197</v>
      </c>
      <c r="L27" s="294"/>
      <c r="M27" s="294"/>
      <c r="N27" s="89"/>
      <c r="O27" s="294" t="s">
        <v>198</v>
      </c>
      <c r="P27" s="319"/>
      <c r="Q27" s="319"/>
      <c r="R27" s="319"/>
      <c r="S27" s="319"/>
      <c r="T27" s="319"/>
      <c r="U27" s="319"/>
    </row>
    <row r="28" ht="3" customHeight="1"/>
    <row r="29" spans="1:21" ht="15">
      <c r="A29" s="305" t="s">
        <v>199</v>
      </c>
      <c r="B29" s="306"/>
      <c r="C29" s="243" t="s">
        <v>45</v>
      </c>
      <c r="D29" s="282"/>
      <c r="E29" s="282"/>
      <c r="F29" s="282"/>
      <c r="G29" s="283"/>
      <c r="H29" s="93"/>
      <c r="I29" s="78">
        <v>19191</v>
      </c>
      <c r="J29" s="68"/>
      <c r="K29" s="243" t="s">
        <v>35</v>
      </c>
      <c r="L29" s="301"/>
      <c r="M29" s="302"/>
      <c r="O29" s="243" t="s">
        <v>50</v>
      </c>
      <c r="P29" s="282"/>
      <c r="Q29" s="282"/>
      <c r="R29" s="282"/>
      <c r="S29" s="282"/>
      <c r="T29" s="282"/>
      <c r="U29" s="283"/>
    </row>
    <row r="30" spans="5:21" ht="3" customHeight="1">
      <c r="E30" s="68"/>
      <c r="F30" s="68"/>
      <c r="G30" s="68"/>
      <c r="H30" s="93"/>
      <c r="I30" s="68"/>
      <c r="J30" s="68"/>
      <c r="K30" s="68"/>
      <c r="L30" s="68"/>
      <c r="M30" s="68"/>
      <c r="N30" s="68"/>
      <c r="O30" s="68"/>
      <c r="P30" s="68"/>
      <c r="Q30" s="68"/>
      <c r="R30" s="68"/>
      <c r="S30" s="68"/>
      <c r="T30" s="68"/>
      <c r="U30" s="68"/>
    </row>
    <row r="31" spans="1:21" ht="15">
      <c r="A31" s="60" t="s">
        <v>200</v>
      </c>
      <c r="B31" s="94"/>
      <c r="C31" s="243" t="s">
        <v>46</v>
      </c>
      <c r="D31" s="282"/>
      <c r="E31" s="282"/>
      <c r="F31" s="282"/>
      <c r="G31" s="283"/>
      <c r="H31" s="93"/>
      <c r="I31" s="78">
        <v>18892</v>
      </c>
      <c r="J31" s="68"/>
      <c r="K31" s="243" t="s">
        <v>48</v>
      </c>
      <c r="L31" s="301"/>
      <c r="M31" s="302"/>
      <c r="O31" s="243" t="s">
        <v>51</v>
      </c>
      <c r="P31" s="282"/>
      <c r="Q31" s="282"/>
      <c r="R31" s="282"/>
      <c r="S31" s="282"/>
      <c r="T31" s="282"/>
      <c r="U31" s="28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201</v>
      </c>
      <c r="B33" s="94"/>
      <c r="C33" s="243" t="s">
        <v>47</v>
      </c>
      <c r="D33" s="282"/>
      <c r="E33" s="282"/>
      <c r="F33" s="282"/>
      <c r="G33" s="283"/>
      <c r="H33" s="93"/>
      <c r="I33" s="78">
        <v>18653</v>
      </c>
      <c r="J33" s="68"/>
      <c r="K33" s="243" t="s">
        <v>49</v>
      </c>
      <c r="L33" s="301"/>
      <c r="M33" s="302"/>
      <c r="O33" s="243" t="s">
        <v>52</v>
      </c>
      <c r="P33" s="282"/>
      <c r="Q33" s="282"/>
      <c r="R33" s="282"/>
      <c r="S33" s="282"/>
      <c r="T33" s="282"/>
      <c r="U33" s="28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202</v>
      </c>
      <c r="B35" s="94"/>
      <c r="C35" s="243"/>
      <c r="D35" s="282"/>
      <c r="E35" s="282"/>
      <c r="F35" s="282"/>
      <c r="G35" s="283"/>
      <c r="H35" s="93"/>
      <c r="I35" s="78"/>
      <c r="J35" s="68"/>
      <c r="K35" s="243"/>
      <c r="L35" s="301"/>
      <c r="M35" s="302"/>
      <c r="O35" s="243"/>
      <c r="P35" s="282"/>
      <c r="Q35" s="282"/>
      <c r="R35" s="282"/>
      <c r="S35" s="282"/>
      <c r="T35" s="282"/>
      <c r="U35" s="28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203</v>
      </c>
      <c r="B37" s="94"/>
      <c r="C37" s="243"/>
      <c r="D37" s="282"/>
      <c r="E37" s="282"/>
      <c r="F37" s="282"/>
      <c r="G37" s="283"/>
      <c r="H37" s="93"/>
      <c r="I37" s="78"/>
      <c r="J37" s="68"/>
      <c r="K37" s="243"/>
      <c r="L37" s="301"/>
      <c r="M37" s="302"/>
      <c r="O37" s="243"/>
      <c r="P37" s="282"/>
      <c r="Q37" s="282"/>
      <c r="R37" s="282"/>
      <c r="S37" s="282"/>
      <c r="T37" s="282"/>
      <c r="U37" s="28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204</v>
      </c>
      <c r="B39" s="94"/>
      <c r="C39" s="243"/>
      <c r="D39" s="282"/>
      <c r="E39" s="282"/>
      <c r="F39" s="282"/>
      <c r="G39" s="283"/>
      <c r="H39" s="93"/>
      <c r="I39" s="78"/>
      <c r="J39" s="68"/>
      <c r="K39" s="243"/>
      <c r="L39" s="301"/>
      <c r="M39" s="302"/>
      <c r="O39" s="243"/>
      <c r="P39" s="282"/>
      <c r="Q39" s="282"/>
      <c r="R39" s="282"/>
      <c r="S39" s="282"/>
      <c r="T39" s="282"/>
      <c r="U39" s="28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205</v>
      </c>
      <c r="B41" s="94"/>
      <c r="C41" s="243"/>
      <c r="D41" s="282"/>
      <c r="E41" s="282"/>
      <c r="F41" s="282"/>
      <c r="G41" s="283"/>
      <c r="H41" s="93"/>
      <c r="I41" s="78"/>
      <c r="J41" s="68"/>
      <c r="K41" s="243"/>
      <c r="L41" s="301"/>
      <c r="M41" s="302"/>
      <c r="O41" s="243"/>
      <c r="P41" s="282"/>
      <c r="Q41" s="282"/>
      <c r="R41" s="282"/>
      <c r="S41" s="282"/>
      <c r="T41" s="282"/>
      <c r="U41" s="28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206</v>
      </c>
      <c r="B43" s="94"/>
      <c r="C43" s="243"/>
      <c r="D43" s="282"/>
      <c r="E43" s="282"/>
      <c r="F43" s="282"/>
      <c r="G43" s="283"/>
      <c r="H43" s="93"/>
      <c r="I43" s="78"/>
      <c r="J43" s="68"/>
      <c r="K43" s="243"/>
      <c r="L43" s="301"/>
      <c r="M43" s="302"/>
      <c r="O43" s="243"/>
      <c r="P43" s="282"/>
      <c r="Q43" s="282"/>
      <c r="R43" s="282"/>
      <c r="S43" s="282"/>
      <c r="T43" s="282"/>
      <c r="U43" s="28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207</v>
      </c>
      <c r="B45" s="94"/>
      <c r="C45" s="243"/>
      <c r="D45" s="282"/>
      <c r="E45" s="282"/>
      <c r="F45" s="282"/>
      <c r="G45" s="283"/>
      <c r="H45" s="93"/>
      <c r="I45" s="78"/>
      <c r="J45" s="68"/>
      <c r="K45" s="243"/>
      <c r="L45" s="301"/>
      <c r="M45" s="302"/>
      <c r="O45" s="243"/>
      <c r="P45" s="282"/>
      <c r="Q45" s="282"/>
      <c r="R45" s="282"/>
      <c r="S45" s="282"/>
      <c r="T45" s="282"/>
      <c r="U45" s="28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208</v>
      </c>
      <c r="B47" s="94"/>
      <c r="C47" s="243"/>
      <c r="D47" s="282"/>
      <c r="E47" s="282"/>
      <c r="F47" s="282"/>
      <c r="G47" s="283"/>
      <c r="H47" s="93"/>
      <c r="I47" s="78"/>
      <c r="J47" s="68"/>
      <c r="K47" s="243"/>
      <c r="L47" s="301"/>
      <c r="M47" s="302"/>
      <c r="O47" s="243"/>
      <c r="P47" s="282"/>
      <c r="Q47" s="282"/>
      <c r="R47" s="282"/>
      <c r="S47" s="282"/>
      <c r="T47" s="282"/>
      <c r="U47" s="28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209</v>
      </c>
      <c r="B49" s="94"/>
      <c r="C49" s="243"/>
      <c r="D49" s="282"/>
      <c r="E49" s="282"/>
      <c r="F49" s="282"/>
      <c r="G49" s="283"/>
      <c r="H49" s="93"/>
      <c r="I49" s="78"/>
      <c r="J49" s="68"/>
      <c r="K49" s="243"/>
      <c r="L49" s="301"/>
      <c r="M49" s="302"/>
      <c r="O49" s="243"/>
      <c r="P49" s="282"/>
      <c r="Q49" s="282"/>
      <c r="R49" s="282"/>
      <c r="S49" s="282"/>
      <c r="T49" s="282"/>
      <c r="U49" s="283"/>
    </row>
    <row r="50" spans="5:21" ht="9.75" customHeight="1">
      <c r="E50" s="68"/>
      <c r="F50" s="68"/>
      <c r="G50" s="68"/>
      <c r="H50" s="93"/>
      <c r="I50" s="68"/>
      <c r="J50" s="68"/>
      <c r="K50" s="68"/>
      <c r="L50" s="68"/>
      <c r="M50" s="68"/>
      <c r="N50" s="68"/>
      <c r="O50" s="68"/>
      <c r="P50" s="68"/>
      <c r="Q50" s="68"/>
      <c r="R50" s="68"/>
      <c r="S50" s="68"/>
      <c r="T50" s="68"/>
      <c r="U50" s="68"/>
    </row>
    <row r="51" spans="1:21" ht="15">
      <c r="A51" s="305" t="s">
        <v>210</v>
      </c>
      <c r="B51" s="306"/>
      <c r="C51" s="243" t="s">
        <v>53</v>
      </c>
      <c r="D51" s="282"/>
      <c r="E51" s="282"/>
      <c r="F51" s="282"/>
      <c r="G51" s="283"/>
      <c r="H51" s="93"/>
      <c r="I51" s="78">
        <v>23174</v>
      </c>
      <c r="J51" s="68"/>
      <c r="K51" s="243" t="s">
        <v>35</v>
      </c>
      <c r="L51" s="301"/>
      <c r="M51" s="302"/>
      <c r="O51" s="243" t="s">
        <v>54</v>
      </c>
      <c r="P51" s="282"/>
      <c r="Q51" s="282"/>
      <c r="R51" s="282"/>
      <c r="S51" s="282"/>
      <c r="T51" s="282"/>
      <c r="U51" s="283"/>
    </row>
    <row r="52" spans="1:2" ht="26.25" customHeight="1">
      <c r="A52" s="87" t="s">
        <v>211</v>
      </c>
      <c r="B52" s="88"/>
    </row>
    <row r="53" ht="3.75" customHeight="1"/>
    <row r="54" spans="1:21" ht="15">
      <c r="A54" s="305" t="s">
        <v>199</v>
      </c>
      <c r="B54" s="306"/>
      <c r="C54" s="243" t="s">
        <v>55</v>
      </c>
      <c r="D54" s="282"/>
      <c r="E54" s="282"/>
      <c r="F54" s="282"/>
      <c r="G54" s="283"/>
      <c r="H54" s="93"/>
      <c r="I54" s="95">
        <v>23519</v>
      </c>
      <c r="J54" s="68"/>
      <c r="K54" s="243" t="s">
        <v>64</v>
      </c>
      <c r="L54" s="301"/>
      <c r="M54" s="302"/>
      <c r="O54" s="243" t="s">
        <v>67</v>
      </c>
      <c r="P54" s="282"/>
      <c r="Q54" s="282"/>
      <c r="R54" s="282"/>
      <c r="S54" s="282"/>
      <c r="T54" s="282"/>
      <c r="U54" s="283"/>
    </row>
    <row r="55" spans="5:21" ht="3" customHeight="1">
      <c r="E55" s="68"/>
      <c r="F55" s="68"/>
      <c r="G55" s="68"/>
      <c r="H55" s="93"/>
      <c r="I55" s="68"/>
      <c r="J55" s="68"/>
      <c r="K55" s="68"/>
      <c r="L55" s="68"/>
      <c r="M55" s="68"/>
      <c r="N55" s="68"/>
      <c r="O55" s="68"/>
      <c r="P55" s="68"/>
      <c r="Q55" s="68"/>
      <c r="R55" s="68"/>
      <c r="S55" s="68"/>
      <c r="T55" s="68"/>
      <c r="U55" s="68"/>
    </row>
    <row r="56" spans="1:21" ht="15">
      <c r="A56" s="60" t="s">
        <v>200</v>
      </c>
      <c r="B56" s="94"/>
      <c r="C56" s="243" t="s">
        <v>56</v>
      </c>
      <c r="D56" s="282"/>
      <c r="E56" s="282"/>
      <c r="F56" s="282"/>
      <c r="G56" s="283"/>
      <c r="H56" s="93"/>
      <c r="I56" s="95">
        <v>10864</v>
      </c>
      <c r="J56" s="68"/>
      <c r="K56" s="243" t="s">
        <v>65</v>
      </c>
      <c r="L56" s="301"/>
      <c r="M56" s="302"/>
      <c r="O56" s="243" t="s">
        <v>68</v>
      </c>
      <c r="P56" s="282"/>
      <c r="Q56" s="282"/>
      <c r="R56" s="282"/>
      <c r="S56" s="282"/>
      <c r="T56" s="282"/>
      <c r="U56" s="28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201</v>
      </c>
      <c r="B58" s="94"/>
      <c r="C58" s="243" t="s">
        <v>57</v>
      </c>
      <c r="D58" s="282"/>
      <c r="E58" s="282"/>
      <c r="F58" s="282"/>
      <c r="G58" s="283"/>
      <c r="H58" s="93"/>
      <c r="I58" s="95">
        <v>24254</v>
      </c>
      <c r="J58" s="68"/>
      <c r="K58" s="243" t="s">
        <v>66</v>
      </c>
      <c r="L58" s="301"/>
      <c r="M58" s="302"/>
      <c r="O58" s="243" t="s">
        <v>69</v>
      </c>
      <c r="P58" s="282"/>
      <c r="Q58" s="282"/>
      <c r="R58" s="282"/>
      <c r="S58" s="282"/>
      <c r="T58" s="282"/>
      <c r="U58" s="28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202</v>
      </c>
      <c r="B60" s="94"/>
      <c r="C60" s="243" t="s">
        <v>58</v>
      </c>
      <c r="D60" s="282"/>
      <c r="E60" s="282"/>
      <c r="F60" s="282"/>
      <c r="G60" s="283"/>
      <c r="H60" s="93"/>
      <c r="I60" s="95">
        <v>25108</v>
      </c>
      <c r="J60" s="68"/>
      <c r="K60" s="243" t="s">
        <v>66</v>
      </c>
      <c r="L60" s="301"/>
      <c r="M60" s="302"/>
      <c r="O60" s="243" t="s">
        <v>70</v>
      </c>
      <c r="P60" s="282"/>
      <c r="Q60" s="282"/>
      <c r="R60" s="282"/>
      <c r="S60" s="282"/>
      <c r="T60" s="282"/>
      <c r="U60" s="28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203</v>
      </c>
      <c r="B62" s="94"/>
      <c r="C62" s="243" t="s">
        <v>59</v>
      </c>
      <c r="D62" s="282"/>
      <c r="E62" s="282"/>
      <c r="F62" s="282"/>
      <c r="G62" s="283"/>
      <c r="H62" s="93"/>
      <c r="I62" s="95">
        <v>24278</v>
      </c>
      <c r="J62" s="68"/>
      <c r="K62" s="243" t="s">
        <v>65</v>
      </c>
      <c r="L62" s="301"/>
      <c r="M62" s="302"/>
      <c r="O62" s="243" t="s">
        <v>71</v>
      </c>
      <c r="P62" s="282"/>
      <c r="Q62" s="282"/>
      <c r="R62" s="282"/>
      <c r="S62" s="282"/>
      <c r="T62" s="282"/>
      <c r="U62" s="28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204</v>
      </c>
      <c r="B64" s="94"/>
      <c r="C64" s="243" t="s">
        <v>60</v>
      </c>
      <c r="D64" s="282"/>
      <c r="E64" s="282"/>
      <c r="F64" s="282"/>
      <c r="G64" s="283"/>
      <c r="H64" s="93"/>
      <c r="I64" s="95">
        <v>19521</v>
      </c>
      <c r="J64" s="68"/>
      <c r="K64" s="243" t="s">
        <v>64</v>
      </c>
      <c r="L64" s="301"/>
      <c r="M64" s="302"/>
      <c r="O64" s="243" t="s">
        <v>72</v>
      </c>
      <c r="P64" s="282"/>
      <c r="Q64" s="282"/>
      <c r="R64" s="282"/>
      <c r="S64" s="282"/>
      <c r="T64" s="282"/>
      <c r="U64" s="28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205</v>
      </c>
      <c r="B66" s="94"/>
      <c r="C66" s="243" t="s">
        <v>61</v>
      </c>
      <c r="D66" s="282"/>
      <c r="E66" s="282"/>
      <c r="F66" s="282"/>
      <c r="G66" s="283"/>
      <c r="H66" s="93"/>
      <c r="I66" s="95">
        <v>21287</v>
      </c>
      <c r="J66" s="68"/>
      <c r="K66" s="243" t="s">
        <v>64</v>
      </c>
      <c r="L66" s="301"/>
      <c r="M66" s="302"/>
      <c r="O66" s="243" t="s">
        <v>73</v>
      </c>
      <c r="P66" s="282"/>
      <c r="Q66" s="282"/>
      <c r="R66" s="282"/>
      <c r="S66" s="282"/>
      <c r="T66" s="282"/>
      <c r="U66" s="28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206</v>
      </c>
      <c r="B68" s="94"/>
      <c r="C68" s="243"/>
      <c r="D68" s="282"/>
      <c r="E68" s="282"/>
      <c r="F68" s="282"/>
      <c r="G68" s="283"/>
      <c r="H68" s="93"/>
      <c r="I68" s="95"/>
      <c r="J68" s="68"/>
      <c r="K68" s="243"/>
      <c r="L68" s="301"/>
      <c r="M68" s="302"/>
      <c r="O68" s="243"/>
      <c r="P68" s="282"/>
      <c r="Q68" s="282"/>
      <c r="R68" s="282"/>
      <c r="S68" s="282"/>
      <c r="T68" s="282"/>
      <c r="U68" s="28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207</v>
      </c>
      <c r="B70" s="94"/>
      <c r="C70" s="243"/>
      <c r="D70" s="282"/>
      <c r="E70" s="282"/>
      <c r="F70" s="282"/>
      <c r="G70" s="283"/>
      <c r="H70" s="93"/>
      <c r="I70" s="95"/>
      <c r="J70" s="68"/>
      <c r="K70" s="243"/>
      <c r="L70" s="301"/>
      <c r="M70" s="302"/>
      <c r="O70" s="243"/>
      <c r="P70" s="282"/>
      <c r="Q70" s="282"/>
      <c r="R70" s="282"/>
      <c r="S70" s="282"/>
      <c r="T70" s="282"/>
      <c r="U70" s="28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208</v>
      </c>
      <c r="B72" s="94"/>
      <c r="C72" s="243"/>
      <c r="D72" s="282"/>
      <c r="E72" s="282"/>
      <c r="F72" s="282"/>
      <c r="G72" s="283"/>
      <c r="H72" s="93"/>
      <c r="I72" s="95"/>
      <c r="J72" s="68"/>
      <c r="K72" s="243"/>
      <c r="L72" s="301"/>
      <c r="M72" s="302"/>
      <c r="O72" s="243"/>
      <c r="P72" s="282"/>
      <c r="Q72" s="282"/>
      <c r="R72" s="282"/>
      <c r="S72" s="282"/>
      <c r="T72" s="282"/>
      <c r="U72" s="28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209</v>
      </c>
      <c r="B74" s="94"/>
      <c r="C74" s="243"/>
      <c r="D74" s="282"/>
      <c r="E74" s="282"/>
      <c r="F74" s="282"/>
      <c r="G74" s="283"/>
      <c r="H74" s="93"/>
      <c r="I74" s="95"/>
      <c r="J74" s="68"/>
      <c r="K74" s="243"/>
      <c r="L74" s="301"/>
      <c r="M74" s="302"/>
      <c r="O74" s="243"/>
      <c r="P74" s="282"/>
      <c r="Q74" s="282"/>
      <c r="R74" s="282"/>
      <c r="S74" s="282"/>
      <c r="T74" s="282"/>
      <c r="U74" s="28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212</v>
      </c>
      <c r="B76" s="94"/>
      <c r="C76" s="243"/>
      <c r="D76" s="282"/>
      <c r="E76" s="282"/>
      <c r="F76" s="282"/>
      <c r="G76" s="283"/>
      <c r="H76" s="93"/>
      <c r="I76" s="95"/>
      <c r="J76" s="68"/>
      <c r="K76" s="243"/>
      <c r="L76" s="301"/>
      <c r="M76" s="302"/>
      <c r="O76" s="243"/>
      <c r="P76" s="282"/>
      <c r="Q76" s="282"/>
      <c r="R76" s="282"/>
      <c r="S76" s="282"/>
      <c r="T76" s="282"/>
      <c r="U76" s="28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213</v>
      </c>
      <c r="B78" s="94"/>
      <c r="C78" s="243"/>
      <c r="D78" s="282"/>
      <c r="E78" s="282"/>
      <c r="F78" s="282"/>
      <c r="G78" s="283"/>
      <c r="H78" s="93"/>
      <c r="I78" s="95"/>
      <c r="J78" s="68"/>
      <c r="K78" s="243"/>
      <c r="L78" s="301"/>
      <c r="M78" s="302"/>
      <c r="O78" s="243"/>
      <c r="P78" s="282"/>
      <c r="Q78" s="282"/>
      <c r="R78" s="282"/>
      <c r="S78" s="282"/>
      <c r="T78" s="282"/>
      <c r="U78" s="28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214</v>
      </c>
      <c r="B80" s="94"/>
      <c r="C80" s="243"/>
      <c r="D80" s="282"/>
      <c r="E80" s="282"/>
      <c r="F80" s="282"/>
      <c r="G80" s="283"/>
      <c r="H80" s="93"/>
      <c r="I80" s="95"/>
      <c r="J80" s="68"/>
      <c r="K80" s="243"/>
      <c r="L80" s="301"/>
      <c r="M80" s="302"/>
      <c r="O80" s="243"/>
      <c r="P80" s="282"/>
      <c r="Q80" s="282"/>
      <c r="R80" s="282"/>
      <c r="S80" s="282"/>
      <c r="T80" s="282"/>
      <c r="U80" s="28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215</v>
      </c>
      <c r="B82" s="94"/>
      <c r="C82" s="243"/>
      <c r="D82" s="282"/>
      <c r="E82" s="282"/>
      <c r="F82" s="282"/>
      <c r="G82" s="283"/>
      <c r="H82" s="93"/>
      <c r="I82" s="95"/>
      <c r="J82" s="68"/>
      <c r="K82" s="243"/>
      <c r="L82" s="301"/>
      <c r="M82" s="302"/>
      <c r="O82" s="243"/>
      <c r="P82" s="282"/>
      <c r="Q82" s="282"/>
      <c r="R82" s="282"/>
      <c r="S82" s="282"/>
      <c r="T82" s="282"/>
      <c r="U82" s="28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216</v>
      </c>
      <c r="B84" s="94"/>
      <c r="C84" s="243"/>
      <c r="D84" s="282"/>
      <c r="E84" s="282"/>
      <c r="F84" s="282"/>
      <c r="G84" s="283"/>
      <c r="H84" s="93"/>
      <c r="I84" s="95"/>
      <c r="J84" s="68"/>
      <c r="K84" s="243"/>
      <c r="L84" s="301"/>
      <c r="M84" s="302"/>
      <c r="O84" s="243"/>
      <c r="P84" s="282"/>
      <c r="Q84" s="282"/>
      <c r="R84" s="282"/>
      <c r="S84" s="282"/>
      <c r="T84" s="282"/>
      <c r="U84" s="28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122</v>
      </c>
      <c r="D86" s="97"/>
      <c r="E86" s="98" t="str">
        <f>IF(LEN(Tablica_A!$E$9)&gt;3,Tablica_A!$E$9,"Nije upisano")</f>
        <v>PODRAVSKA BANKA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217</v>
      </c>
      <c r="D88" s="104"/>
      <c r="E88" s="105" t="str">
        <f>IF(LEN(Tablica_A!$S$5)&gt;3,Tablica_A!$S$5,"Nije upisano")</f>
        <v>03015904</v>
      </c>
      <c r="F88" s="105"/>
      <c r="G88" s="105"/>
      <c r="H88" s="106"/>
      <c r="I88" s="106"/>
      <c r="J88" s="104"/>
      <c r="K88" s="104" t="s">
        <v>218</v>
      </c>
      <c r="L88" s="106"/>
      <c r="M88" s="105" t="str">
        <f>IF(LEN(Tablica_A!$G$7)&gt;3,Tablica_A!$G$7,"Nije upisano")</f>
        <v>2007-06</v>
      </c>
      <c r="N88" s="105"/>
      <c r="O88" s="105"/>
      <c r="P88" s="106"/>
      <c r="Q88" s="106"/>
      <c r="R88" s="106"/>
      <c r="S88" s="106"/>
      <c r="T88" s="106"/>
      <c r="U88" s="108"/>
    </row>
    <row r="89" spans="1:2" ht="24.75" customHeight="1">
      <c r="A89" s="87" t="s">
        <v>219</v>
      </c>
      <c r="B89" s="58"/>
    </row>
    <row r="90" spans="2:21" ht="15">
      <c r="B90" s="69"/>
      <c r="C90" s="69"/>
      <c r="D90" s="69"/>
      <c r="F90" s="69"/>
      <c r="J90" s="74"/>
      <c r="R90" s="109"/>
      <c r="S90" s="64" t="s">
        <v>220</v>
      </c>
      <c r="T90" s="69"/>
      <c r="U90" s="188">
        <v>1552</v>
      </c>
    </row>
    <row r="91" spans="1:2" ht="15.75">
      <c r="A91" s="68" t="s">
        <v>221</v>
      </c>
      <c r="B91" s="88"/>
    </row>
    <row r="92" spans="3:21" ht="15" customHeight="1">
      <c r="C92" s="337" t="s">
        <v>222</v>
      </c>
      <c r="D92" s="337"/>
      <c r="E92" s="337"/>
      <c r="F92" s="337"/>
      <c r="G92" s="337"/>
      <c r="H92" s="337"/>
      <c r="I92" s="337"/>
      <c r="K92" s="337" t="s">
        <v>223</v>
      </c>
      <c r="L92" s="337"/>
      <c r="M92" s="337"/>
      <c r="N92" s="337"/>
      <c r="O92" s="337"/>
      <c r="P92" s="337"/>
      <c r="Q92" s="337"/>
      <c r="S92" s="290" t="s">
        <v>224</v>
      </c>
      <c r="T92" s="290"/>
      <c r="U92" s="290"/>
    </row>
    <row r="93" spans="3:21" ht="15">
      <c r="C93" s="321"/>
      <c r="D93" s="321"/>
      <c r="E93" s="321"/>
      <c r="F93" s="321"/>
      <c r="G93" s="321"/>
      <c r="H93" s="321"/>
      <c r="I93" s="321"/>
      <c r="K93" s="321"/>
      <c r="L93" s="321"/>
      <c r="M93" s="321"/>
      <c r="N93" s="321"/>
      <c r="O93" s="321"/>
      <c r="P93" s="321"/>
      <c r="Q93" s="321"/>
      <c r="S93" s="92" t="s">
        <v>225</v>
      </c>
      <c r="T93" s="111"/>
      <c r="U93" s="111" t="s">
        <v>226</v>
      </c>
    </row>
    <row r="94" ht="3" customHeight="1"/>
    <row r="95" spans="1:21" ht="15">
      <c r="A95" s="60" t="s">
        <v>140</v>
      </c>
      <c r="B95" s="94"/>
      <c r="C95" s="243" t="s">
        <v>88</v>
      </c>
      <c r="D95" s="282"/>
      <c r="E95" s="282"/>
      <c r="F95" s="282"/>
      <c r="G95" s="282"/>
      <c r="H95" s="282"/>
      <c r="I95" s="283"/>
      <c r="K95" s="243" t="s">
        <v>89</v>
      </c>
      <c r="L95" s="282"/>
      <c r="M95" s="282"/>
      <c r="N95" s="282"/>
      <c r="O95" s="282"/>
      <c r="P95" s="244"/>
      <c r="Q95" s="245"/>
      <c r="S95" s="112">
        <v>40645</v>
      </c>
      <c r="U95" s="113">
        <v>9.66</v>
      </c>
    </row>
    <row r="96" spans="1:19" ht="3" customHeight="1">
      <c r="A96" s="59"/>
      <c r="B96" s="94"/>
      <c r="S96" s="114"/>
    </row>
    <row r="97" spans="1:21" ht="15">
      <c r="A97" s="60" t="s">
        <v>141</v>
      </c>
      <c r="B97" s="94"/>
      <c r="C97" s="243" t="s">
        <v>90</v>
      </c>
      <c r="D97" s="282"/>
      <c r="E97" s="282"/>
      <c r="F97" s="282"/>
      <c r="G97" s="282"/>
      <c r="H97" s="282"/>
      <c r="I97" s="283"/>
      <c r="K97" s="243" t="s">
        <v>91</v>
      </c>
      <c r="L97" s="282"/>
      <c r="M97" s="282"/>
      <c r="N97" s="282"/>
      <c r="O97" s="282"/>
      <c r="P97" s="244"/>
      <c r="Q97" s="245"/>
      <c r="S97" s="112">
        <v>39284</v>
      </c>
      <c r="U97" s="113">
        <v>9.34</v>
      </c>
    </row>
    <row r="98" spans="1:19" ht="3" customHeight="1">
      <c r="A98" s="59"/>
      <c r="B98" s="94"/>
      <c r="S98" s="114"/>
    </row>
    <row r="99" spans="1:21" ht="15">
      <c r="A99" s="60" t="s">
        <v>142</v>
      </c>
      <c r="B99" s="94"/>
      <c r="C99" s="243" t="s">
        <v>93</v>
      </c>
      <c r="D99" s="282"/>
      <c r="E99" s="282"/>
      <c r="F99" s="282"/>
      <c r="G99" s="282"/>
      <c r="H99" s="282"/>
      <c r="I99" s="283"/>
      <c r="K99" s="243" t="s">
        <v>92</v>
      </c>
      <c r="L99" s="282"/>
      <c r="M99" s="282"/>
      <c r="N99" s="282"/>
      <c r="O99" s="282"/>
      <c r="P99" s="244"/>
      <c r="Q99" s="245"/>
      <c r="S99" s="112">
        <v>39249</v>
      </c>
      <c r="U99" s="113">
        <v>9.33</v>
      </c>
    </row>
    <row r="100" spans="1:19" ht="3" customHeight="1">
      <c r="A100" s="59"/>
      <c r="B100" s="94"/>
      <c r="S100" s="114"/>
    </row>
    <row r="101" spans="1:21" ht="15">
      <c r="A101" s="60" t="s">
        <v>143</v>
      </c>
      <c r="B101" s="94"/>
      <c r="C101" s="243" t="s">
        <v>94</v>
      </c>
      <c r="D101" s="282"/>
      <c r="E101" s="282"/>
      <c r="F101" s="282"/>
      <c r="G101" s="282"/>
      <c r="H101" s="282"/>
      <c r="I101" s="283"/>
      <c r="K101" s="243" t="s">
        <v>95</v>
      </c>
      <c r="L101" s="282"/>
      <c r="M101" s="282"/>
      <c r="N101" s="282"/>
      <c r="O101" s="282"/>
      <c r="P101" s="244"/>
      <c r="Q101" s="245"/>
      <c r="S101" s="112">
        <v>37156</v>
      </c>
      <c r="U101" s="113">
        <v>8.83</v>
      </c>
    </row>
    <row r="102" spans="1:19" ht="3" customHeight="1">
      <c r="A102" s="60"/>
      <c r="B102" s="94"/>
      <c r="S102" s="114"/>
    </row>
    <row r="103" spans="1:21" ht="15">
      <c r="A103" s="60" t="s">
        <v>144</v>
      </c>
      <c r="B103" s="94"/>
      <c r="C103" s="243" t="s">
        <v>55</v>
      </c>
      <c r="D103" s="282"/>
      <c r="E103" s="282"/>
      <c r="F103" s="282"/>
      <c r="G103" s="282"/>
      <c r="H103" s="282"/>
      <c r="I103" s="283"/>
      <c r="K103" s="243" t="s">
        <v>96</v>
      </c>
      <c r="L103" s="282"/>
      <c r="M103" s="282"/>
      <c r="N103" s="282"/>
      <c r="O103" s="282"/>
      <c r="P103" s="244"/>
      <c r="Q103" s="245"/>
      <c r="S103" s="112">
        <v>34320</v>
      </c>
      <c r="U103" s="113">
        <v>8.16</v>
      </c>
    </row>
    <row r="104" spans="1:19" ht="3" customHeight="1">
      <c r="A104" s="59"/>
      <c r="B104" s="94"/>
      <c r="S104" s="114"/>
    </row>
    <row r="105" spans="1:21" ht="15">
      <c r="A105" s="60" t="s">
        <v>145</v>
      </c>
      <c r="B105" s="94"/>
      <c r="C105" s="243" t="s">
        <v>57</v>
      </c>
      <c r="D105" s="282"/>
      <c r="E105" s="282"/>
      <c r="F105" s="282"/>
      <c r="G105" s="282"/>
      <c r="H105" s="282"/>
      <c r="I105" s="283"/>
      <c r="K105" s="243" t="s">
        <v>97</v>
      </c>
      <c r="L105" s="282"/>
      <c r="M105" s="282"/>
      <c r="N105" s="282"/>
      <c r="O105" s="282"/>
      <c r="P105" s="244"/>
      <c r="Q105" s="245"/>
      <c r="S105" s="112">
        <v>23727</v>
      </c>
      <c r="U105" s="113">
        <v>5.64</v>
      </c>
    </row>
    <row r="106" spans="1:19" ht="3" customHeight="1">
      <c r="A106" s="59"/>
      <c r="B106" s="94"/>
      <c r="S106" s="114"/>
    </row>
    <row r="107" spans="1:21" ht="15">
      <c r="A107" s="60" t="s">
        <v>146</v>
      </c>
      <c r="B107" s="94"/>
      <c r="C107" s="243" t="s">
        <v>58</v>
      </c>
      <c r="D107" s="282"/>
      <c r="E107" s="282"/>
      <c r="F107" s="282"/>
      <c r="G107" s="282"/>
      <c r="H107" s="282"/>
      <c r="I107" s="283"/>
      <c r="K107" s="243" t="s">
        <v>98</v>
      </c>
      <c r="L107" s="282"/>
      <c r="M107" s="282"/>
      <c r="N107" s="282"/>
      <c r="O107" s="282"/>
      <c r="P107" s="244"/>
      <c r="Q107" s="245"/>
      <c r="S107" s="112">
        <v>23725</v>
      </c>
      <c r="U107" s="113">
        <v>5.64</v>
      </c>
    </row>
    <row r="108" spans="1:19" ht="3" customHeight="1">
      <c r="A108" s="59"/>
      <c r="B108" s="94"/>
      <c r="S108" s="114"/>
    </row>
    <row r="109" spans="1:21" ht="15">
      <c r="A109" s="60" t="s">
        <v>147</v>
      </c>
      <c r="B109" s="94"/>
      <c r="C109" s="243" t="s">
        <v>99</v>
      </c>
      <c r="D109" s="282"/>
      <c r="E109" s="282"/>
      <c r="F109" s="282"/>
      <c r="G109" s="282"/>
      <c r="H109" s="282"/>
      <c r="I109" s="283"/>
      <c r="K109" s="243" t="s">
        <v>98</v>
      </c>
      <c r="L109" s="282"/>
      <c r="M109" s="282"/>
      <c r="N109" s="282"/>
      <c r="O109" s="282"/>
      <c r="P109" s="244"/>
      <c r="Q109" s="245"/>
      <c r="S109" s="112">
        <v>23719</v>
      </c>
      <c r="U109" s="113">
        <v>5.64</v>
      </c>
    </row>
    <row r="110" spans="1:19" ht="3" customHeight="1">
      <c r="A110" s="59"/>
      <c r="B110" s="94"/>
      <c r="S110" s="114"/>
    </row>
    <row r="111" spans="1:21" ht="15">
      <c r="A111" s="60" t="s">
        <v>148</v>
      </c>
      <c r="B111" s="94"/>
      <c r="C111" s="243" t="s">
        <v>100</v>
      </c>
      <c r="D111" s="282"/>
      <c r="E111" s="282"/>
      <c r="F111" s="282"/>
      <c r="G111" s="282"/>
      <c r="H111" s="282"/>
      <c r="I111" s="283"/>
      <c r="K111" s="243" t="s">
        <v>97</v>
      </c>
      <c r="L111" s="282"/>
      <c r="M111" s="282"/>
      <c r="N111" s="282"/>
      <c r="O111" s="282"/>
      <c r="P111" s="244"/>
      <c r="Q111" s="245"/>
      <c r="S111" s="112">
        <v>23719</v>
      </c>
      <c r="U111" s="113">
        <v>5.64</v>
      </c>
    </row>
    <row r="112" spans="1:19" ht="3" customHeight="1">
      <c r="A112" s="59"/>
      <c r="B112" s="94"/>
      <c r="S112" s="114"/>
    </row>
    <row r="113" spans="1:21" ht="15">
      <c r="A113" s="60" t="s">
        <v>227</v>
      </c>
      <c r="B113" s="94"/>
      <c r="C113" s="243" t="s">
        <v>518</v>
      </c>
      <c r="D113" s="282"/>
      <c r="E113" s="282"/>
      <c r="F113" s="282"/>
      <c r="G113" s="282"/>
      <c r="H113" s="282"/>
      <c r="I113" s="283"/>
      <c r="K113" s="243" t="s">
        <v>519</v>
      </c>
      <c r="L113" s="282"/>
      <c r="M113" s="282"/>
      <c r="N113" s="282"/>
      <c r="O113" s="282"/>
      <c r="P113" s="244"/>
      <c r="Q113" s="245"/>
      <c r="S113" s="112">
        <v>19304</v>
      </c>
      <c r="U113" s="113">
        <v>4.59</v>
      </c>
    </row>
    <row r="114" ht="3" customHeight="1"/>
    <row r="115" spans="1:21" ht="15">
      <c r="A115" s="338" t="s">
        <v>228</v>
      </c>
      <c r="B115" s="297"/>
      <c r="C115" s="297"/>
      <c r="D115" s="297"/>
      <c r="E115" s="297"/>
      <c r="F115" s="94"/>
      <c r="G115" s="339">
        <v>168304800</v>
      </c>
      <c r="H115" s="340"/>
      <c r="I115" s="341"/>
      <c r="J115" s="94"/>
      <c r="K115" s="94"/>
      <c r="L115" s="94"/>
      <c r="M115" s="94"/>
      <c r="N115" s="94"/>
      <c r="O115" s="94"/>
      <c r="P115" s="94"/>
      <c r="Q115" s="60" t="s">
        <v>229</v>
      </c>
      <c r="S115" s="112">
        <v>2686</v>
      </c>
      <c r="U115" s="113">
        <v>0.64</v>
      </c>
    </row>
    <row r="116" ht="9.75" customHeight="1"/>
    <row r="117" spans="1:2" ht="15.75">
      <c r="A117" s="68" t="s">
        <v>230</v>
      </c>
      <c r="B117" s="88"/>
    </row>
    <row r="118" spans="1:21" ht="15.75" customHeight="1">
      <c r="A118" s="299" t="s">
        <v>231</v>
      </c>
      <c r="B118" s="115"/>
      <c r="C118" s="291" t="s">
        <v>232</v>
      </c>
      <c r="D118" s="292"/>
      <c r="E118" s="303"/>
      <c r="F118" s="303"/>
      <c r="G118" s="303"/>
      <c r="H118" s="303"/>
      <c r="I118" s="303"/>
      <c r="J118" s="303"/>
      <c r="K118" s="304"/>
      <c r="L118" s="91"/>
      <c r="M118" s="291" t="s">
        <v>233</v>
      </c>
      <c r="N118" s="303"/>
      <c r="O118" s="303"/>
      <c r="P118" s="303"/>
      <c r="Q118" s="303"/>
      <c r="R118" s="303"/>
      <c r="S118" s="303"/>
      <c r="T118" s="303"/>
      <c r="U118" s="304"/>
    </row>
    <row r="119" spans="1:21" s="68" customFormat="1" ht="24.75" customHeight="1">
      <c r="A119" s="300"/>
      <c r="B119" s="116"/>
      <c r="C119" s="291" t="s">
        <v>234</v>
      </c>
      <c r="D119" s="292"/>
      <c r="E119" s="293"/>
      <c r="F119" s="328" t="s">
        <v>235</v>
      </c>
      <c r="G119" s="329"/>
      <c r="H119" s="329"/>
      <c r="I119" s="329"/>
      <c r="J119" s="330"/>
      <c r="K119" s="118" t="s">
        <v>236</v>
      </c>
      <c r="L119" s="91"/>
      <c r="M119" s="291" t="s">
        <v>234</v>
      </c>
      <c r="N119" s="292"/>
      <c r="O119" s="293"/>
      <c r="P119" s="328" t="s">
        <v>235</v>
      </c>
      <c r="Q119" s="329"/>
      <c r="R119" s="329"/>
      <c r="S119" s="329"/>
      <c r="T119" s="330"/>
      <c r="U119" s="118" t="s">
        <v>236</v>
      </c>
    </row>
    <row r="120" ht="3" customHeight="1"/>
    <row r="121" spans="1:21" ht="15">
      <c r="A121" s="60" t="s">
        <v>140</v>
      </c>
      <c r="B121" s="94"/>
      <c r="C121" s="307" t="s">
        <v>74</v>
      </c>
      <c r="D121" s="308"/>
      <c r="E121" s="309"/>
      <c r="F121" s="109"/>
      <c r="G121" s="284">
        <v>400</v>
      </c>
      <c r="H121" s="285"/>
      <c r="I121" s="286"/>
      <c r="J121" s="119"/>
      <c r="K121" s="214">
        <v>107256</v>
      </c>
      <c r="L121" s="77"/>
      <c r="M121" s="310"/>
      <c r="N121" s="311"/>
      <c r="O121" s="312"/>
      <c r="P121" s="120"/>
      <c r="Q121" s="313"/>
      <c r="R121" s="314"/>
      <c r="S121" s="315"/>
      <c r="T121" s="120"/>
      <c r="U121" s="214"/>
    </row>
    <row r="122" spans="1:9" ht="3" customHeight="1">
      <c r="A122" s="59"/>
      <c r="B122" s="94"/>
      <c r="G122" s="59"/>
      <c r="H122" s="59"/>
      <c r="I122" s="59"/>
    </row>
    <row r="123" spans="1:21" ht="15">
      <c r="A123" s="60" t="s">
        <v>141</v>
      </c>
      <c r="B123" s="94"/>
      <c r="C123" s="307" t="s">
        <v>75</v>
      </c>
      <c r="D123" s="308"/>
      <c r="E123" s="309"/>
      <c r="F123" s="109"/>
      <c r="G123" s="284">
        <v>400</v>
      </c>
      <c r="H123" s="285"/>
      <c r="I123" s="286"/>
      <c r="J123" s="119"/>
      <c r="K123" s="214">
        <v>40000</v>
      </c>
      <c r="L123" s="77"/>
      <c r="M123" s="310"/>
      <c r="N123" s="311"/>
      <c r="O123" s="312"/>
      <c r="P123" s="120"/>
      <c r="Q123" s="313"/>
      <c r="R123" s="314"/>
      <c r="S123" s="315"/>
      <c r="T123" s="120"/>
      <c r="U123" s="214"/>
    </row>
    <row r="124" spans="1:9" ht="3" customHeight="1">
      <c r="A124" s="59"/>
      <c r="B124" s="94"/>
      <c r="G124" s="59"/>
      <c r="H124" s="59"/>
      <c r="I124" s="59"/>
    </row>
    <row r="125" spans="1:21" ht="15">
      <c r="A125" s="60" t="s">
        <v>142</v>
      </c>
      <c r="B125" s="94"/>
      <c r="C125" s="307" t="s">
        <v>76</v>
      </c>
      <c r="D125" s="308"/>
      <c r="E125" s="309"/>
      <c r="F125" s="109"/>
      <c r="G125" s="284">
        <v>400</v>
      </c>
      <c r="H125" s="285"/>
      <c r="I125" s="286"/>
      <c r="J125" s="119"/>
      <c r="K125" s="214">
        <v>10000</v>
      </c>
      <c r="L125" s="77"/>
      <c r="M125" s="310"/>
      <c r="N125" s="311"/>
      <c r="O125" s="312"/>
      <c r="P125" s="120"/>
      <c r="Q125" s="313"/>
      <c r="R125" s="314"/>
      <c r="S125" s="315"/>
      <c r="T125" s="120"/>
      <c r="U125" s="214"/>
    </row>
    <row r="126" spans="1:9" ht="3" customHeight="1">
      <c r="A126" s="59"/>
      <c r="B126" s="94"/>
      <c r="G126" s="59"/>
      <c r="H126" s="59"/>
      <c r="I126" s="59"/>
    </row>
    <row r="127" spans="1:21" ht="15">
      <c r="A127" s="60" t="s">
        <v>143</v>
      </c>
      <c r="B127" s="94"/>
      <c r="C127" s="307" t="s">
        <v>77</v>
      </c>
      <c r="D127" s="308"/>
      <c r="E127" s="309"/>
      <c r="F127" s="109"/>
      <c r="G127" s="284">
        <v>400</v>
      </c>
      <c r="H127" s="285"/>
      <c r="I127" s="286"/>
      <c r="J127" s="119"/>
      <c r="K127" s="214">
        <v>3125</v>
      </c>
      <c r="L127" s="77"/>
      <c r="M127" s="310"/>
      <c r="N127" s="311"/>
      <c r="O127" s="312"/>
      <c r="P127" s="120"/>
      <c r="Q127" s="313"/>
      <c r="R127" s="314"/>
      <c r="S127" s="315"/>
      <c r="T127" s="120"/>
      <c r="U127" s="214"/>
    </row>
    <row r="128" spans="1:9" ht="3" customHeight="1">
      <c r="A128" s="59"/>
      <c r="B128" s="94"/>
      <c r="G128" s="59"/>
      <c r="H128" s="59"/>
      <c r="I128" s="59"/>
    </row>
    <row r="129" spans="1:21" ht="15">
      <c r="A129" s="60" t="s">
        <v>144</v>
      </c>
      <c r="B129" s="94"/>
      <c r="C129" s="307" t="s">
        <v>78</v>
      </c>
      <c r="D129" s="308"/>
      <c r="E129" s="309"/>
      <c r="F129" s="109"/>
      <c r="G129" s="284">
        <v>400</v>
      </c>
      <c r="H129" s="285"/>
      <c r="I129" s="286"/>
      <c r="J129" s="119"/>
      <c r="K129" s="214">
        <v>160381</v>
      </c>
      <c r="L129" s="77"/>
      <c r="M129" s="310"/>
      <c r="N129" s="311"/>
      <c r="O129" s="312"/>
      <c r="P129" s="120"/>
      <c r="Q129" s="313"/>
      <c r="R129" s="314"/>
      <c r="S129" s="315"/>
      <c r="T129" s="120"/>
      <c r="U129" s="214"/>
    </row>
    <row r="130" spans="1:9" ht="3" customHeight="1">
      <c r="A130" s="59"/>
      <c r="B130" s="94"/>
      <c r="G130" s="59"/>
      <c r="H130" s="59"/>
      <c r="I130" s="59"/>
    </row>
    <row r="131" spans="1:21" ht="15">
      <c r="A131" s="60" t="s">
        <v>145</v>
      </c>
      <c r="B131" s="94"/>
      <c r="C131" s="307" t="s">
        <v>79</v>
      </c>
      <c r="D131" s="308"/>
      <c r="E131" s="309"/>
      <c r="F131" s="109"/>
      <c r="G131" s="284">
        <v>400</v>
      </c>
      <c r="H131" s="285"/>
      <c r="I131" s="286"/>
      <c r="J131" s="119"/>
      <c r="K131" s="214">
        <v>100000</v>
      </c>
      <c r="L131" s="77"/>
      <c r="M131" s="310"/>
      <c r="N131" s="311"/>
      <c r="O131" s="312"/>
      <c r="P131" s="120"/>
      <c r="Q131" s="313"/>
      <c r="R131" s="314"/>
      <c r="S131" s="315"/>
      <c r="T131" s="120"/>
      <c r="U131" s="214"/>
    </row>
    <row r="132" spans="1:9" ht="3" customHeight="1">
      <c r="A132" s="59"/>
      <c r="B132" s="94"/>
      <c r="G132" s="59"/>
      <c r="H132" s="59"/>
      <c r="I132" s="59"/>
    </row>
    <row r="133" spans="1:21" ht="15">
      <c r="A133" s="60" t="s">
        <v>146</v>
      </c>
      <c r="B133" s="94"/>
      <c r="C133" s="307"/>
      <c r="D133" s="308"/>
      <c r="E133" s="309"/>
      <c r="F133" s="109"/>
      <c r="G133" s="284"/>
      <c r="H133" s="285"/>
      <c r="I133" s="286"/>
      <c r="J133" s="119"/>
      <c r="K133" s="214"/>
      <c r="L133" s="77"/>
      <c r="M133" s="310"/>
      <c r="N133" s="311"/>
      <c r="O133" s="312"/>
      <c r="P133" s="120"/>
      <c r="Q133" s="313"/>
      <c r="R133" s="314"/>
      <c r="S133" s="315"/>
      <c r="T133" s="120"/>
      <c r="U133" s="214"/>
    </row>
    <row r="134" spans="1:9" ht="3" customHeight="1">
      <c r="A134" s="59"/>
      <c r="B134" s="94"/>
      <c r="G134" s="59"/>
      <c r="H134" s="59"/>
      <c r="I134" s="59"/>
    </row>
    <row r="135" spans="1:21" ht="15">
      <c r="A135" s="60" t="s">
        <v>147</v>
      </c>
      <c r="B135" s="94"/>
      <c r="C135" s="307"/>
      <c r="D135" s="308"/>
      <c r="E135" s="309"/>
      <c r="F135" s="109"/>
      <c r="G135" s="284"/>
      <c r="H135" s="285"/>
      <c r="I135" s="286"/>
      <c r="J135" s="119"/>
      <c r="K135" s="214"/>
      <c r="L135" s="77"/>
      <c r="M135" s="310"/>
      <c r="N135" s="311"/>
      <c r="O135" s="312"/>
      <c r="P135" s="120"/>
      <c r="Q135" s="313"/>
      <c r="R135" s="314"/>
      <c r="S135" s="315"/>
      <c r="T135" s="120"/>
      <c r="U135" s="214"/>
    </row>
    <row r="136" spans="1:13" ht="3" customHeight="1">
      <c r="A136" s="59"/>
      <c r="B136" s="94"/>
      <c r="G136" s="59"/>
      <c r="H136" s="59"/>
      <c r="I136" s="59"/>
      <c r="M136" s="121"/>
    </row>
    <row r="137" spans="1:21" ht="15">
      <c r="A137" s="60" t="s">
        <v>148</v>
      </c>
      <c r="B137" s="94"/>
      <c r="C137" s="307"/>
      <c r="D137" s="308"/>
      <c r="E137" s="309"/>
      <c r="F137" s="109"/>
      <c r="G137" s="284"/>
      <c r="H137" s="285"/>
      <c r="I137" s="286"/>
      <c r="J137" s="119"/>
      <c r="K137" s="214"/>
      <c r="L137" s="77"/>
      <c r="M137" s="310"/>
      <c r="N137" s="311"/>
      <c r="O137" s="312"/>
      <c r="P137" s="120"/>
      <c r="Q137" s="313"/>
      <c r="R137" s="314"/>
      <c r="S137" s="315"/>
      <c r="T137" s="120"/>
      <c r="U137" s="214"/>
    </row>
    <row r="138" ht="3" customHeight="1"/>
    <row r="139" spans="2:21" ht="15">
      <c r="B139" s="60"/>
      <c r="C139" s="60"/>
      <c r="D139" s="60"/>
      <c r="E139" s="60"/>
      <c r="F139" s="60"/>
      <c r="G139" s="60"/>
      <c r="H139" s="60"/>
      <c r="I139" s="60"/>
      <c r="J139" s="60"/>
      <c r="K139" s="60"/>
      <c r="L139" s="60"/>
      <c r="M139" s="60" t="s">
        <v>780</v>
      </c>
      <c r="O139" s="243" t="s">
        <v>80</v>
      </c>
      <c r="P139" s="282"/>
      <c r="Q139" s="282"/>
      <c r="R139" s="282"/>
      <c r="S139" s="282"/>
      <c r="T139" s="282"/>
      <c r="U139" s="283"/>
    </row>
    <row r="140" ht="3" customHeight="1"/>
    <row r="141" spans="2:21" ht="15">
      <c r="B141" s="60"/>
      <c r="C141" s="60"/>
      <c r="D141" s="60"/>
      <c r="E141" s="60"/>
      <c r="F141" s="60"/>
      <c r="G141" s="60"/>
      <c r="H141" s="60"/>
      <c r="I141" s="60"/>
      <c r="J141" s="60"/>
      <c r="K141" s="60"/>
      <c r="L141" s="60"/>
      <c r="M141" s="60" t="s">
        <v>781</v>
      </c>
      <c r="O141" s="243"/>
      <c r="P141" s="282"/>
      <c r="Q141" s="282"/>
      <c r="R141" s="282"/>
      <c r="S141" s="282"/>
      <c r="T141" s="282"/>
      <c r="U141" s="283"/>
    </row>
    <row r="142" spans="1:2" ht="30" customHeight="1">
      <c r="A142" s="122" t="s">
        <v>237</v>
      </c>
      <c r="B142" s="123"/>
    </row>
    <row r="143" spans="1:2" ht="3" customHeight="1">
      <c r="A143" s="88"/>
      <c r="B143" s="88"/>
    </row>
    <row r="144" spans="3:21" ht="25.5">
      <c r="C144" s="110" t="s">
        <v>238</v>
      </c>
      <c r="D144" s="111"/>
      <c r="E144" s="290" t="s">
        <v>239</v>
      </c>
      <c r="F144" s="297"/>
      <c r="G144" s="297"/>
      <c r="H144" s="297"/>
      <c r="I144" s="297"/>
      <c r="J144" s="297"/>
      <c r="K144" s="297"/>
      <c r="L144" s="111"/>
      <c r="M144" s="290" t="s">
        <v>240</v>
      </c>
      <c r="N144" s="298"/>
      <c r="O144" s="298"/>
      <c r="P144" s="90"/>
      <c r="Q144" s="290" t="s">
        <v>241</v>
      </c>
      <c r="R144" s="297"/>
      <c r="S144" s="297"/>
      <c r="T144" s="297"/>
      <c r="U144" s="297"/>
    </row>
    <row r="145" ht="3" customHeight="1"/>
    <row r="146" spans="1:21" ht="15">
      <c r="A146" s="60" t="s">
        <v>140</v>
      </c>
      <c r="B146" s="94"/>
      <c r="C146" s="215"/>
      <c r="D146" s="77"/>
      <c r="E146" s="243"/>
      <c r="F146" s="282"/>
      <c r="G146" s="282"/>
      <c r="H146" s="282"/>
      <c r="I146" s="282"/>
      <c r="J146" s="244"/>
      <c r="K146" s="245"/>
      <c r="M146" s="243"/>
      <c r="N146" s="282"/>
      <c r="O146" s="283"/>
      <c r="P146" s="119"/>
      <c r="Q146" s="243"/>
      <c r="R146" s="295"/>
      <c r="S146" s="295"/>
      <c r="T146" s="295"/>
      <c r="U146" s="296"/>
    </row>
    <row r="147" spans="1:2" ht="3" customHeight="1">
      <c r="A147" s="59"/>
      <c r="B147" s="94"/>
    </row>
    <row r="148" spans="1:21" ht="15">
      <c r="A148" s="60" t="s">
        <v>141</v>
      </c>
      <c r="B148" s="94"/>
      <c r="C148" s="215"/>
      <c r="D148" s="77"/>
      <c r="E148" s="243"/>
      <c r="F148" s="282"/>
      <c r="G148" s="282"/>
      <c r="H148" s="282"/>
      <c r="I148" s="282"/>
      <c r="J148" s="244"/>
      <c r="K148" s="245"/>
      <c r="M148" s="243"/>
      <c r="N148" s="282"/>
      <c r="O148" s="283"/>
      <c r="P148" s="119"/>
      <c r="Q148" s="243"/>
      <c r="R148" s="295"/>
      <c r="S148" s="295"/>
      <c r="T148" s="295"/>
      <c r="U148" s="296"/>
    </row>
    <row r="149" spans="1:2" ht="3" customHeight="1">
      <c r="A149" s="59"/>
      <c r="B149" s="94"/>
    </row>
    <row r="150" spans="1:21" ht="15">
      <c r="A150" s="60" t="s">
        <v>142</v>
      </c>
      <c r="B150" s="94"/>
      <c r="C150" s="215"/>
      <c r="D150" s="77"/>
      <c r="E150" s="243"/>
      <c r="F150" s="282"/>
      <c r="G150" s="282"/>
      <c r="H150" s="282"/>
      <c r="I150" s="282"/>
      <c r="J150" s="244"/>
      <c r="K150" s="245"/>
      <c r="M150" s="243"/>
      <c r="N150" s="282"/>
      <c r="O150" s="283"/>
      <c r="P150" s="119"/>
      <c r="Q150" s="243"/>
      <c r="R150" s="295"/>
      <c r="S150" s="295"/>
      <c r="T150" s="295"/>
      <c r="U150" s="296"/>
    </row>
    <row r="151" spans="1:2" ht="3" customHeight="1">
      <c r="A151" s="59"/>
      <c r="B151" s="94"/>
    </row>
    <row r="152" spans="1:21" ht="15">
      <c r="A152" s="60" t="s">
        <v>143</v>
      </c>
      <c r="B152" s="94"/>
      <c r="C152" s="215"/>
      <c r="D152" s="77"/>
      <c r="E152" s="243"/>
      <c r="F152" s="282"/>
      <c r="G152" s="282"/>
      <c r="H152" s="282"/>
      <c r="I152" s="282"/>
      <c r="J152" s="244"/>
      <c r="K152" s="245"/>
      <c r="M152" s="243"/>
      <c r="N152" s="282"/>
      <c r="O152" s="283"/>
      <c r="P152" s="119"/>
      <c r="Q152" s="243"/>
      <c r="R152" s="295"/>
      <c r="S152" s="295"/>
      <c r="T152" s="295"/>
      <c r="U152" s="296"/>
    </row>
    <row r="153" spans="1:2" ht="3" customHeight="1">
      <c r="A153" s="59"/>
      <c r="B153" s="94"/>
    </row>
    <row r="154" spans="1:21" ht="15">
      <c r="A154" s="60" t="s">
        <v>144</v>
      </c>
      <c r="B154" s="94"/>
      <c r="C154" s="215"/>
      <c r="D154" s="77"/>
      <c r="E154" s="243"/>
      <c r="F154" s="282"/>
      <c r="G154" s="282"/>
      <c r="H154" s="282"/>
      <c r="I154" s="282"/>
      <c r="J154" s="244"/>
      <c r="K154" s="245"/>
      <c r="M154" s="243"/>
      <c r="N154" s="282"/>
      <c r="O154" s="283"/>
      <c r="P154" s="119"/>
      <c r="Q154" s="243"/>
      <c r="R154" s="295"/>
      <c r="S154" s="295"/>
      <c r="T154" s="295"/>
      <c r="U154" s="296"/>
    </row>
    <row r="155" spans="1:2" ht="3" customHeight="1">
      <c r="A155" s="59"/>
      <c r="B155" s="94"/>
    </row>
    <row r="156" spans="1:21" ht="15">
      <c r="A156" s="60" t="s">
        <v>145</v>
      </c>
      <c r="B156" s="94"/>
      <c r="C156" s="215"/>
      <c r="D156" s="77"/>
      <c r="E156" s="243"/>
      <c r="F156" s="282"/>
      <c r="G156" s="282"/>
      <c r="H156" s="282"/>
      <c r="I156" s="282"/>
      <c r="J156" s="244"/>
      <c r="K156" s="245"/>
      <c r="M156" s="243"/>
      <c r="N156" s="282"/>
      <c r="O156" s="283"/>
      <c r="P156" s="119"/>
      <c r="Q156" s="243"/>
      <c r="R156" s="295"/>
      <c r="S156" s="295"/>
      <c r="T156" s="295"/>
      <c r="U156" s="296"/>
    </row>
    <row r="157" ht="3" customHeight="1"/>
    <row r="158" spans="1:21" ht="15" customHeight="1">
      <c r="A158" s="331" t="s">
        <v>242</v>
      </c>
      <c r="B158" s="332"/>
      <c r="C158" s="332"/>
      <c r="D158" s="332"/>
      <c r="E158" s="124"/>
      <c r="F158" s="60"/>
      <c r="H158" s="60"/>
      <c r="I158" s="60" t="s">
        <v>243</v>
      </c>
      <c r="K158" s="243" t="s">
        <v>81</v>
      </c>
      <c r="L158" s="301"/>
      <c r="M158" s="301"/>
      <c r="N158" s="301"/>
      <c r="O158" s="301"/>
      <c r="P158" s="301"/>
      <c r="Q158" s="301"/>
      <c r="R158" s="301"/>
      <c r="S158" s="301"/>
      <c r="T158" s="301"/>
      <c r="U158" s="302"/>
    </row>
    <row r="159" spans="1:9" ht="3" customHeight="1">
      <c r="A159" s="332"/>
      <c r="B159" s="332"/>
      <c r="C159" s="332"/>
      <c r="D159" s="332"/>
      <c r="E159" s="124"/>
      <c r="F159" s="60"/>
      <c r="G159" s="125"/>
      <c r="H159" s="125"/>
      <c r="I159" s="125"/>
    </row>
    <row r="160" spans="1:21" ht="15">
      <c r="A160" s="332"/>
      <c r="B160" s="332"/>
      <c r="C160" s="332"/>
      <c r="D160" s="332"/>
      <c r="E160" s="124"/>
      <c r="F160" s="60"/>
      <c r="H160" s="60"/>
      <c r="I160" s="60" t="s">
        <v>244</v>
      </c>
      <c r="K160" s="243" t="s">
        <v>82</v>
      </c>
      <c r="L160" s="295"/>
      <c r="M160" s="296"/>
      <c r="O160" s="243" t="s">
        <v>83</v>
      </c>
      <c r="P160" s="282"/>
      <c r="Q160" s="282"/>
      <c r="R160" s="282"/>
      <c r="S160" s="282"/>
      <c r="T160" s="244"/>
      <c r="U160" s="245"/>
    </row>
    <row r="161" ht="3" customHeight="1"/>
    <row r="162" ht="15" customHeight="1">
      <c r="A162" s="126" t="s">
        <v>245</v>
      </c>
    </row>
    <row r="163" spans="3:21" ht="15">
      <c r="C163" s="290" t="s">
        <v>246</v>
      </c>
      <c r="D163" s="290"/>
      <c r="E163" s="290"/>
      <c r="F163" s="290"/>
      <c r="G163" s="290"/>
      <c r="H163" s="290"/>
      <c r="I163" s="290"/>
      <c r="J163" s="290"/>
      <c r="K163" s="290"/>
      <c r="L163" s="290"/>
      <c r="M163" s="290"/>
      <c r="N163" s="290"/>
      <c r="O163" s="290"/>
      <c r="Q163" s="290" t="s">
        <v>247</v>
      </c>
      <c r="R163" s="290"/>
      <c r="S163" s="290"/>
      <c r="T163" s="290"/>
      <c r="U163" s="290"/>
    </row>
    <row r="164" ht="3" customHeight="1"/>
    <row r="165" spans="1:21" ht="15">
      <c r="A165" s="60" t="s">
        <v>140</v>
      </c>
      <c r="C165" s="243" t="s">
        <v>84</v>
      </c>
      <c r="D165" s="282"/>
      <c r="E165" s="282"/>
      <c r="F165" s="282"/>
      <c r="G165" s="282"/>
      <c r="H165" s="282"/>
      <c r="I165" s="282"/>
      <c r="J165" s="282"/>
      <c r="K165" s="282"/>
      <c r="L165" s="282"/>
      <c r="M165" s="282"/>
      <c r="N165" s="282"/>
      <c r="O165" s="283"/>
      <c r="Q165" s="243" t="s">
        <v>85</v>
      </c>
      <c r="R165" s="295"/>
      <c r="S165" s="295"/>
      <c r="T165" s="295"/>
      <c r="U165" s="296"/>
    </row>
    <row r="166" ht="3" customHeight="1">
      <c r="A166" s="60"/>
    </row>
    <row r="167" spans="1:21" ht="15">
      <c r="A167" s="60" t="s">
        <v>141</v>
      </c>
      <c r="C167" s="243"/>
      <c r="D167" s="282"/>
      <c r="E167" s="282"/>
      <c r="F167" s="282"/>
      <c r="G167" s="282"/>
      <c r="H167" s="282"/>
      <c r="I167" s="282"/>
      <c r="J167" s="282"/>
      <c r="K167" s="282"/>
      <c r="L167" s="282"/>
      <c r="M167" s="282"/>
      <c r="N167" s="282"/>
      <c r="O167" s="283"/>
      <c r="Q167" s="243"/>
      <c r="R167" s="295"/>
      <c r="S167" s="295"/>
      <c r="T167" s="295"/>
      <c r="U167" s="296"/>
    </row>
    <row r="168" ht="3" customHeight="1">
      <c r="A168" s="60"/>
    </row>
    <row r="169" spans="1:21" ht="15">
      <c r="A169" s="60" t="s">
        <v>142</v>
      </c>
      <c r="C169" s="243"/>
      <c r="D169" s="282"/>
      <c r="E169" s="282"/>
      <c r="F169" s="282"/>
      <c r="G169" s="282"/>
      <c r="H169" s="282"/>
      <c r="I169" s="282"/>
      <c r="J169" s="282"/>
      <c r="K169" s="282"/>
      <c r="L169" s="282"/>
      <c r="M169" s="282"/>
      <c r="N169" s="282"/>
      <c r="O169" s="283"/>
      <c r="Q169" s="243"/>
      <c r="R169" s="295"/>
      <c r="S169" s="295"/>
      <c r="T169" s="295"/>
      <c r="U169" s="296"/>
    </row>
    <row r="170" ht="3" customHeight="1">
      <c r="A170" s="60"/>
    </row>
    <row r="171" spans="1:21" ht="15">
      <c r="A171" s="60" t="s">
        <v>143</v>
      </c>
      <c r="C171" s="243"/>
      <c r="D171" s="282"/>
      <c r="E171" s="282"/>
      <c r="F171" s="282"/>
      <c r="G171" s="282"/>
      <c r="H171" s="282"/>
      <c r="I171" s="282"/>
      <c r="J171" s="282"/>
      <c r="K171" s="282"/>
      <c r="L171" s="282"/>
      <c r="M171" s="282"/>
      <c r="N171" s="282"/>
      <c r="O171" s="283"/>
      <c r="Q171" s="243"/>
      <c r="R171" s="295"/>
      <c r="S171" s="295"/>
      <c r="T171" s="295"/>
      <c r="U171" s="296"/>
    </row>
    <row r="172" ht="3" customHeight="1">
      <c r="A172" s="60"/>
    </row>
    <row r="173" spans="1:21" ht="15">
      <c r="A173" s="60" t="s">
        <v>144</v>
      </c>
      <c r="C173" s="243"/>
      <c r="D173" s="282"/>
      <c r="E173" s="282"/>
      <c r="F173" s="282"/>
      <c r="G173" s="282"/>
      <c r="H173" s="282"/>
      <c r="I173" s="282"/>
      <c r="J173" s="282"/>
      <c r="K173" s="282"/>
      <c r="L173" s="282"/>
      <c r="M173" s="282"/>
      <c r="N173" s="282"/>
      <c r="O173" s="283"/>
      <c r="Q173" s="243"/>
      <c r="R173" s="295"/>
      <c r="S173" s="295"/>
      <c r="T173" s="295"/>
      <c r="U173" s="296"/>
    </row>
    <row r="174" ht="3" customHeight="1"/>
    <row r="175" spans="1:21" s="68" customFormat="1" ht="15.75" customHeight="1">
      <c r="A175" s="96"/>
      <c r="B175" s="97"/>
      <c r="C175" s="97" t="s">
        <v>122</v>
      </c>
      <c r="D175" s="97"/>
      <c r="E175" s="98" t="str">
        <f>IF(LEN(Tablica_A!$E$9)&gt;3,Tablica_A!$E$9,"Nije upisano")</f>
        <v>PODRAVSKA BANKA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217</v>
      </c>
      <c r="D177" s="104"/>
      <c r="E177" s="105" t="str">
        <f>IF(LEN(Tablica_A!$S$5)&gt;3,Tablica_A!$S$5,"Nije upisano")</f>
        <v>03015904</v>
      </c>
      <c r="F177" s="105"/>
      <c r="G177" s="105"/>
      <c r="H177" s="106"/>
      <c r="I177" s="106"/>
      <c r="J177" s="104"/>
      <c r="K177" s="104" t="s">
        <v>218</v>
      </c>
      <c r="L177" s="106"/>
      <c r="M177" s="105" t="str">
        <f>IF(LEN(Tablica_A!$G$7)&gt;3,Tablica_A!$G$7,"Nije upisano")</f>
        <v>2007-06</v>
      </c>
      <c r="N177" s="105"/>
      <c r="O177" s="105"/>
      <c r="P177" s="106"/>
      <c r="Q177" s="106"/>
      <c r="R177" s="106"/>
      <c r="S177" s="106"/>
      <c r="T177" s="106"/>
      <c r="U177" s="108"/>
    </row>
    <row r="178" ht="9.75" customHeight="1"/>
    <row r="179" ht="19.5" customHeight="1">
      <c r="A179" s="126" t="s">
        <v>248</v>
      </c>
    </row>
    <row r="180" spans="1:21" ht="15" customHeight="1">
      <c r="A180" s="127"/>
      <c r="B180" s="127"/>
      <c r="C180" s="127"/>
      <c r="D180" s="127"/>
      <c r="E180" s="127"/>
      <c r="F180" s="127"/>
      <c r="G180" s="294" t="s">
        <v>232</v>
      </c>
      <c r="H180" s="294"/>
      <c r="I180" s="294"/>
      <c r="J180" s="294"/>
      <c r="K180" s="294"/>
      <c r="L180" s="294"/>
      <c r="M180" s="294"/>
      <c r="N180" s="91"/>
      <c r="O180" s="294" t="s">
        <v>233</v>
      </c>
      <c r="P180" s="294"/>
      <c r="Q180" s="294"/>
      <c r="R180" s="294"/>
      <c r="S180" s="294"/>
      <c r="T180" s="294"/>
      <c r="U180" s="294"/>
    </row>
    <row r="181" spans="1:21" ht="15" customHeight="1">
      <c r="A181" s="127"/>
      <c r="B181" s="127"/>
      <c r="C181" s="127"/>
      <c r="D181" s="127"/>
      <c r="E181" s="127"/>
      <c r="F181" s="127"/>
      <c r="G181" s="294" t="s">
        <v>249</v>
      </c>
      <c r="H181" s="294"/>
      <c r="I181" s="294"/>
      <c r="J181" s="294"/>
      <c r="K181" s="294" t="s">
        <v>250</v>
      </c>
      <c r="L181" s="294"/>
      <c r="M181" s="294"/>
      <c r="N181" s="91"/>
      <c r="O181" s="294" t="s">
        <v>249</v>
      </c>
      <c r="P181" s="294"/>
      <c r="Q181" s="294"/>
      <c r="R181" s="89"/>
      <c r="S181" s="294" t="s">
        <v>250</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251</v>
      </c>
      <c r="G183" s="284">
        <v>1926</v>
      </c>
      <c r="H183" s="285"/>
      <c r="I183" s="286"/>
      <c r="K183" s="284">
        <v>2299.9</v>
      </c>
      <c r="L183" s="285"/>
      <c r="M183" s="286"/>
      <c r="O183" s="284"/>
      <c r="P183" s="285"/>
      <c r="Q183" s="286"/>
      <c r="S183" s="284"/>
      <c r="T183" s="285"/>
      <c r="U183" s="286"/>
    </row>
    <row r="184" ht="3" customHeight="1"/>
    <row r="185" spans="2:21" ht="15">
      <c r="B185" s="60"/>
      <c r="C185" s="60"/>
      <c r="D185" s="60"/>
      <c r="E185" s="60" t="s">
        <v>252</v>
      </c>
      <c r="G185" s="284">
        <v>2052.5</v>
      </c>
      <c r="H185" s="285"/>
      <c r="I185" s="286"/>
      <c r="K185" s="284">
        <v>2332.41</v>
      </c>
      <c r="L185" s="285"/>
      <c r="M185" s="286"/>
      <c r="O185" s="284"/>
      <c r="P185" s="285"/>
      <c r="Q185" s="286"/>
      <c r="S185" s="284"/>
      <c r="T185" s="285"/>
      <c r="U185" s="286"/>
    </row>
    <row r="186" ht="3" customHeight="1"/>
    <row r="187" spans="1:4" ht="19.5" customHeight="1">
      <c r="A187" s="128" t="s">
        <v>161</v>
      </c>
      <c r="B187" s="91"/>
      <c r="C187" s="91"/>
      <c r="D187" s="91"/>
    </row>
    <row r="188" spans="1:21" ht="15">
      <c r="A188" s="127"/>
      <c r="B188" s="91"/>
      <c r="C188" s="91"/>
      <c r="D188" s="91"/>
      <c r="E188" s="91"/>
      <c r="F188" s="91"/>
      <c r="G188" s="291" t="s">
        <v>253</v>
      </c>
      <c r="H188" s="292"/>
      <c r="I188" s="292"/>
      <c r="J188" s="292"/>
      <c r="K188" s="292"/>
      <c r="L188" s="292"/>
      <c r="M188" s="293"/>
      <c r="O188" s="291" t="s">
        <v>254</v>
      </c>
      <c r="P188" s="292"/>
      <c r="Q188" s="292"/>
      <c r="R188" s="292"/>
      <c r="S188" s="292"/>
      <c r="T188" s="292"/>
      <c r="U188" s="293"/>
    </row>
    <row r="189" spans="1:21" ht="15">
      <c r="A189" s="91"/>
      <c r="B189" s="91"/>
      <c r="C189" s="91"/>
      <c r="D189" s="91"/>
      <c r="E189" s="91"/>
      <c r="F189" s="91"/>
      <c r="G189" s="291" t="s">
        <v>255</v>
      </c>
      <c r="H189" s="292"/>
      <c r="I189" s="292"/>
      <c r="J189" s="117"/>
      <c r="K189" s="291" t="s">
        <v>256</v>
      </c>
      <c r="L189" s="292"/>
      <c r="M189" s="293"/>
      <c r="O189" s="291" t="s">
        <v>255</v>
      </c>
      <c r="P189" s="292"/>
      <c r="Q189" s="293"/>
      <c r="S189" s="291" t="s">
        <v>256</v>
      </c>
      <c r="T189" s="292"/>
      <c r="U189" s="293"/>
    </row>
    <row r="190" spans="1:6" ht="3" customHeight="1">
      <c r="A190" s="91"/>
      <c r="B190" s="91"/>
      <c r="C190" s="91"/>
      <c r="D190" s="91"/>
      <c r="E190" s="91"/>
      <c r="F190" s="91"/>
    </row>
    <row r="191" spans="1:21" ht="15">
      <c r="A191" s="91"/>
      <c r="B191" s="91"/>
      <c r="C191" s="91"/>
      <c r="D191" s="91"/>
      <c r="E191" s="91"/>
      <c r="F191" s="91"/>
      <c r="G191" s="284">
        <v>10.8</v>
      </c>
      <c r="H191" s="285"/>
      <c r="I191" s="286"/>
      <c r="K191" s="284">
        <v>44.47</v>
      </c>
      <c r="L191" s="285"/>
      <c r="M191" s="286"/>
      <c r="O191" s="284">
        <v>14.25</v>
      </c>
      <c r="P191" s="285"/>
      <c r="Q191" s="286"/>
      <c r="S191" s="284">
        <v>32.07</v>
      </c>
      <c r="T191" s="285"/>
      <c r="U191" s="286"/>
    </row>
    <row r="192" ht="3.75" customHeight="1"/>
    <row r="193" spans="2:21" ht="15">
      <c r="B193" s="129"/>
      <c r="C193" s="129"/>
      <c r="D193" s="129"/>
      <c r="E193" s="129"/>
      <c r="F193" s="129"/>
      <c r="G193" s="129"/>
      <c r="H193" s="129"/>
      <c r="I193" s="129"/>
      <c r="J193" s="129"/>
      <c r="K193" s="129"/>
      <c r="L193" s="129"/>
      <c r="M193" s="129"/>
      <c r="N193" s="129"/>
      <c r="O193" s="129"/>
      <c r="P193" s="129"/>
      <c r="Q193" s="60" t="s">
        <v>257</v>
      </c>
      <c r="S193" s="287">
        <v>865507</v>
      </c>
      <c r="T193" s="288"/>
      <c r="U193" s="289"/>
    </row>
    <row r="194" ht="3.75" customHeight="1"/>
    <row r="195" spans="1:4" ht="19.5" customHeight="1">
      <c r="A195" s="128" t="s">
        <v>259</v>
      </c>
      <c r="B195" s="91"/>
      <c r="C195" s="91"/>
      <c r="D195" s="91"/>
    </row>
    <row r="196" spans="11:21" ht="15">
      <c r="K196" s="290" t="s">
        <v>260</v>
      </c>
      <c r="L196" s="290"/>
      <c r="M196" s="290"/>
      <c r="O196" s="290" t="s">
        <v>261</v>
      </c>
      <c r="P196" s="290"/>
      <c r="Q196" s="290"/>
      <c r="S196" s="290" t="s">
        <v>262</v>
      </c>
      <c r="T196" s="290"/>
      <c r="U196" s="290"/>
    </row>
    <row r="197" ht="3.75" customHeight="1"/>
    <row r="198" spans="6:21" ht="15">
      <c r="F198" s="94"/>
      <c r="G198" s="94"/>
      <c r="H198" s="94"/>
      <c r="I198" s="130" t="s">
        <v>263</v>
      </c>
      <c r="K198" s="284">
        <v>0</v>
      </c>
      <c r="L198" s="285"/>
      <c r="M198" s="286"/>
      <c r="O198" s="284">
        <v>0</v>
      </c>
      <c r="P198" s="285"/>
      <c r="Q198" s="286"/>
      <c r="S198" s="284">
        <v>0</v>
      </c>
      <c r="T198" s="285"/>
      <c r="U198" s="286"/>
    </row>
    <row r="199" ht="3" customHeight="1"/>
    <row r="200" spans="6:21" ht="15">
      <c r="F200" s="94"/>
      <c r="G200" s="94"/>
      <c r="H200" s="94"/>
      <c r="I200" s="130" t="s">
        <v>264</v>
      </c>
      <c r="K200" s="284"/>
      <c r="L200" s="285"/>
      <c r="M200" s="286"/>
      <c r="O200" s="284"/>
      <c r="P200" s="285"/>
      <c r="Q200" s="286"/>
      <c r="S200" s="284"/>
      <c r="T200" s="285"/>
      <c r="U200" s="28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2:M62 K66:M66 K160:M160 K64:M64 K68:M68 K70:M70 K72:M72 K74:M74 K76:M76 K78:M78 K80:M80 K82:M82 M146:O146 K29:M29 M150:O150 M152:O152 M154:O154 M156:O156 M148:O148 K60:M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13:Q113 K103:Q103 K105:Q105 K101:Q101 K107:Q107 K109:Q109 K111:Q111">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Q137:S137 G123:I123 G125:I125 G127:I127 G129:I129 G133:I133 G135:I135 G137:I137 Q121:S121 Q123:S123 Q125:S125 Q127:S127 Q129:S129 Q131:S131 Q133:S133 Q135:S135 G131:I131">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5 S113 S111">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4" hidden="1" customWidth="1"/>
    <col min="6" max="6" width="9.140625" style="174" hidden="1" customWidth="1"/>
    <col min="7" max="7" width="16.57421875" style="193" hidden="1" customWidth="1"/>
    <col min="8" max="8" width="10.140625" style="194" hidden="1" customWidth="1"/>
    <col min="9" max="9" width="51.00390625" style="193" hidden="1" customWidth="1"/>
    <col min="10" max="16384" width="9.140625" style="174" hidden="1" customWidth="1"/>
  </cols>
  <sheetData>
    <row r="1" spans="1:9" ht="12.75" hidden="1">
      <c r="A1" s="194" t="s">
        <v>268</v>
      </c>
      <c r="B1" s="194" t="s">
        <v>378</v>
      </c>
      <c r="C1" s="194" t="s">
        <v>379</v>
      </c>
      <c r="D1" s="194" t="s">
        <v>380</v>
      </c>
      <c r="E1" s="194" t="s">
        <v>381</v>
      </c>
      <c r="F1" s="174" t="s">
        <v>382</v>
      </c>
      <c r="G1" s="193" t="s">
        <v>383</v>
      </c>
      <c r="H1" s="194" t="s">
        <v>385</v>
      </c>
      <c r="I1" s="193" t="s">
        <v>386</v>
      </c>
    </row>
    <row r="2" spans="1:9" ht="12.75" hidden="1">
      <c r="A2" s="194">
        <f>Fintab!F8</f>
        <v>1</v>
      </c>
      <c r="B2" s="194">
        <f>Fintab!G8</f>
        <v>2541281</v>
      </c>
      <c r="C2" s="194">
        <f>Fintab!I8</f>
        <v>2636523</v>
      </c>
      <c r="D2" s="194">
        <v>0</v>
      </c>
      <c r="E2" s="194">
        <v>0</v>
      </c>
      <c r="F2" s="174">
        <f>A2/100*(B2+C2*2+D2*3+E2*4)</f>
        <v>78143.27</v>
      </c>
      <c r="G2" s="193" t="s">
        <v>475</v>
      </c>
      <c r="H2" s="194">
        <v>102</v>
      </c>
      <c r="I2" s="193" t="s">
        <v>476</v>
      </c>
    </row>
    <row r="3" spans="1:9" ht="12.75" hidden="1">
      <c r="A3" s="194">
        <f>Fintab!F9</f>
        <v>2</v>
      </c>
      <c r="B3" s="194">
        <f>Fintab!G9</f>
        <v>45326</v>
      </c>
      <c r="C3" s="194">
        <f>Fintab!I9</f>
        <v>60023</v>
      </c>
      <c r="D3" s="194">
        <v>0</v>
      </c>
      <c r="E3" s="194">
        <v>0</v>
      </c>
      <c r="F3" s="174">
        <f aca="true" t="shared" si="0" ref="F3:F28">A3/100*(B3+C3*2+D3*3+E3*4)</f>
        <v>3307.44</v>
      </c>
      <c r="G3" s="193" t="s">
        <v>384</v>
      </c>
      <c r="H3" s="194">
        <f>IF(LEN(I3)&gt;1,LEN(I3),0)</f>
        <v>7</v>
      </c>
      <c r="I3" s="193" t="str">
        <f>IF(Tablica_A!G7&lt;&gt;"",Tablica_A!G7,"-")</f>
        <v>2007-06</v>
      </c>
    </row>
    <row r="4" spans="1:9" ht="12.75" hidden="1">
      <c r="A4" s="194">
        <f>Fintab!F10</f>
        <v>3</v>
      </c>
      <c r="B4" s="194">
        <f>Fintab!G10</f>
        <v>271522</v>
      </c>
      <c r="C4" s="194">
        <f>Fintab!I10</f>
        <v>308050</v>
      </c>
      <c r="D4" s="194">
        <v>0</v>
      </c>
      <c r="E4" s="194">
        <v>0</v>
      </c>
      <c r="F4" s="174">
        <f t="shared" si="0"/>
        <v>26628.66</v>
      </c>
      <c r="G4" s="193" t="s">
        <v>387</v>
      </c>
      <c r="H4" s="194">
        <f>IF(LEN(I4)&gt;1,LEN(I4),0)</f>
        <v>8</v>
      </c>
      <c r="I4" s="193" t="str">
        <f>IF(INT(Tablica_A!S5)&gt;0,Tablica_A!S5,"-")</f>
        <v>03015904</v>
      </c>
    </row>
    <row r="5" spans="1:9" ht="12.75" hidden="1">
      <c r="A5" s="194">
        <f>Fintab!F11</f>
        <v>4</v>
      </c>
      <c r="B5" s="194">
        <f>Fintab!G11</f>
        <v>422596</v>
      </c>
      <c r="C5" s="194">
        <f>Fintab!I11</f>
        <v>348261</v>
      </c>
      <c r="D5" s="194">
        <v>0</v>
      </c>
      <c r="E5" s="194">
        <v>0</v>
      </c>
      <c r="F5" s="174">
        <f t="shared" si="0"/>
        <v>44764.72</v>
      </c>
      <c r="G5" s="193" t="s">
        <v>388</v>
      </c>
      <c r="H5" s="194">
        <f>IF(LEN(I5)&gt;1,LEN(I5),0)</f>
        <v>9</v>
      </c>
      <c r="I5" s="193" t="str">
        <f>IF(Tablica_A!S7&lt;&gt;"",Tablica_A!S7,"-")</f>
        <v>010000486</v>
      </c>
    </row>
    <row r="6" spans="1:9" ht="12.75" hidden="1">
      <c r="A6" s="194">
        <f>Fintab!F12</f>
        <v>5</v>
      </c>
      <c r="B6" s="194">
        <f>Fintab!G12</f>
        <v>0</v>
      </c>
      <c r="C6" s="194">
        <f>Fintab!I12</f>
        <v>0</v>
      </c>
      <c r="D6" s="194">
        <v>0</v>
      </c>
      <c r="E6" s="194">
        <v>0</v>
      </c>
      <c r="F6" s="174">
        <f t="shared" si="0"/>
        <v>0</v>
      </c>
      <c r="G6" s="193" t="s">
        <v>389</v>
      </c>
      <c r="H6" s="194">
        <f>IF(LEN(I6)&gt;1,LEN(I6),0)</f>
        <v>2</v>
      </c>
      <c r="I6" s="193" t="str">
        <f>IF(Tablica_A!G5&lt;&gt;"",Tablica_A!G5,"-")</f>
        <v>NE</v>
      </c>
    </row>
    <row r="7" spans="1:9" ht="12.75" hidden="1">
      <c r="A7" s="194">
        <f>Fintab!F13</f>
        <v>6</v>
      </c>
      <c r="B7" s="194">
        <f>Fintab!G13</f>
        <v>46959</v>
      </c>
      <c r="C7" s="194">
        <f>Fintab!I13</f>
        <v>46779</v>
      </c>
      <c r="D7" s="194">
        <v>0</v>
      </c>
      <c r="E7" s="194">
        <v>0</v>
      </c>
      <c r="F7" s="174">
        <f t="shared" si="0"/>
        <v>8431.02</v>
      </c>
      <c r="G7" s="193" t="s">
        <v>508</v>
      </c>
      <c r="H7" s="194">
        <f>IF(LEN(I7)&gt;1,LEN(I7),0)</f>
        <v>20</v>
      </c>
      <c r="I7" s="193" t="str">
        <f>IF(Tablica_A!E9&lt;&gt;"",Tablica_A!E9,"-")</f>
        <v>PODRAVSKA BANKA d.d.</v>
      </c>
    </row>
    <row r="8" spans="1:9" ht="12.75" hidden="1">
      <c r="A8" s="194">
        <f>Fintab!F14</f>
        <v>7</v>
      </c>
      <c r="B8" s="194">
        <f>Fintab!G14</f>
        <v>182021</v>
      </c>
      <c r="C8" s="194">
        <f>Fintab!I14</f>
        <v>180000</v>
      </c>
      <c r="D8" s="194">
        <v>0</v>
      </c>
      <c r="E8" s="194">
        <v>0</v>
      </c>
      <c r="F8" s="174">
        <f t="shared" si="0"/>
        <v>37941.47</v>
      </c>
      <c r="G8" s="193" t="s">
        <v>509</v>
      </c>
      <c r="H8" s="194">
        <f>Tablica_A!G11</f>
        <v>48000</v>
      </c>
      <c r="I8" s="193" t="s">
        <v>391</v>
      </c>
    </row>
    <row r="9" spans="1:9" ht="12.75" hidden="1">
      <c r="A9" s="194">
        <f>Fintab!F15</f>
        <v>8</v>
      </c>
      <c r="B9" s="194">
        <f>Fintab!G15</f>
        <v>1267678</v>
      </c>
      <c r="C9" s="194">
        <f>Fintab!I15</f>
        <v>1386137</v>
      </c>
      <c r="D9" s="194">
        <v>0</v>
      </c>
      <c r="E9" s="194">
        <v>0</v>
      </c>
      <c r="F9" s="174">
        <f t="shared" si="0"/>
        <v>323196.16000000003</v>
      </c>
      <c r="G9" s="193" t="s">
        <v>390</v>
      </c>
      <c r="H9" s="194">
        <f aca="true" t="shared" si="1" ref="H9:H14">IF(LEN(I9)&gt;1,LEN(I9),0)</f>
        <v>10</v>
      </c>
      <c r="I9" s="193" t="str">
        <f>IF(Tablica_A!I11&lt;&gt;"",Tablica_A!I11,"-")</f>
        <v>KOPRIVNICA</v>
      </c>
    </row>
    <row r="10" spans="1:9" ht="12.75" hidden="1">
      <c r="A10" s="194">
        <f>Fintab!F16</f>
        <v>9</v>
      </c>
      <c r="B10" s="194">
        <f>Fintab!G16</f>
        <v>0</v>
      </c>
      <c r="C10" s="194">
        <f>Fintab!I16</f>
        <v>1530</v>
      </c>
      <c r="D10" s="194">
        <v>0</v>
      </c>
      <c r="E10" s="194">
        <v>0</v>
      </c>
      <c r="F10" s="174">
        <f t="shared" si="0"/>
        <v>275.4</v>
      </c>
      <c r="G10" s="193" t="s">
        <v>510</v>
      </c>
      <c r="H10" s="194">
        <f t="shared" si="1"/>
        <v>10</v>
      </c>
      <c r="I10" s="193" t="str">
        <f>IF(Tablica_A!O11&lt;&gt;"",Tablica_A!O11,"-")</f>
        <v>OPATIČKA 3</v>
      </c>
    </row>
    <row r="11" spans="1:9" ht="12.75" hidden="1">
      <c r="A11" s="194">
        <f>Fintab!F17</f>
        <v>10</v>
      </c>
      <c r="B11" s="194">
        <f>Fintab!G17</f>
        <v>216772</v>
      </c>
      <c r="C11" s="194">
        <f>Fintab!I17</f>
        <v>207400</v>
      </c>
      <c r="D11" s="194">
        <v>0</v>
      </c>
      <c r="E11" s="194">
        <v>0</v>
      </c>
      <c r="F11" s="174">
        <f t="shared" si="0"/>
        <v>63157.200000000004</v>
      </c>
      <c r="G11" s="193" t="s">
        <v>511</v>
      </c>
      <c r="H11" s="194">
        <f t="shared" si="1"/>
        <v>9</v>
      </c>
      <c r="I11" s="193" t="str">
        <f>IF(Tablica_A!G13&lt;&gt;"",Tablica_A!G13,"-")</f>
        <v>048655115</v>
      </c>
    </row>
    <row r="12" spans="1:9" ht="12.75" hidden="1">
      <c r="A12" s="194">
        <f>Fintab!F18</f>
        <v>11</v>
      </c>
      <c r="B12" s="194">
        <f>Fintab!G18</f>
        <v>88407</v>
      </c>
      <c r="C12" s="194">
        <f>Fintab!I18</f>
        <v>98343</v>
      </c>
      <c r="D12" s="194">
        <v>0</v>
      </c>
      <c r="E12" s="194">
        <v>0</v>
      </c>
      <c r="F12" s="174">
        <f t="shared" si="0"/>
        <v>31360.23</v>
      </c>
      <c r="G12" s="193" t="s">
        <v>512</v>
      </c>
      <c r="H12" s="194">
        <f t="shared" si="1"/>
        <v>9</v>
      </c>
      <c r="I12" s="193" t="str">
        <f>IF(Tablica_A!Q13&lt;&gt;"",Tablica_A!Q13,"-")</f>
        <v>048622542</v>
      </c>
    </row>
    <row r="13" spans="1:9" ht="12.75" hidden="1">
      <c r="A13" s="194">
        <f>Fintab!F19</f>
        <v>12</v>
      </c>
      <c r="B13" s="194">
        <f>Fintab!G19</f>
        <v>2312917</v>
      </c>
      <c r="C13" s="194">
        <f>Fintab!I19</f>
        <v>2396387</v>
      </c>
      <c r="D13" s="194">
        <v>0</v>
      </c>
      <c r="E13" s="194">
        <v>0</v>
      </c>
      <c r="F13" s="174">
        <f t="shared" si="0"/>
        <v>852682.9199999999</v>
      </c>
      <c r="G13" s="193" t="s">
        <v>392</v>
      </c>
      <c r="H13" s="194">
        <f t="shared" si="1"/>
        <v>11</v>
      </c>
      <c r="I13" s="193" t="str">
        <f>IF(Tablica_A!G15&lt;&gt;"",Tablica_A!G15,"-")</f>
        <v>www.poba.hr</v>
      </c>
    </row>
    <row r="14" spans="1:9" ht="12.75" hidden="1">
      <c r="A14" s="194">
        <f>Fintab!F20</f>
        <v>13</v>
      </c>
      <c r="B14" s="194">
        <f>Fintab!G20</f>
        <v>654044</v>
      </c>
      <c r="C14" s="194">
        <f>Fintab!I20</f>
        <v>632306</v>
      </c>
      <c r="D14" s="194">
        <v>0</v>
      </c>
      <c r="E14" s="194">
        <v>0</v>
      </c>
      <c r="F14" s="174">
        <f t="shared" si="0"/>
        <v>249425.28</v>
      </c>
      <c r="G14" s="193" t="s">
        <v>393</v>
      </c>
      <c r="H14" s="194">
        <f t="shared" si="1"/>
        <v>12</v>
      </c>
      <c r="I14" s="193" t="str">
        <f>IF(Tablica_A!G17&lt;&gt;"",Tablica_A!G17,"-")</f>
        <v>info@poba.hr</v>
      </c>
    </row>
    <row r="15" spans="1:9" ht="12.75" hidden="1">
      <c r="A15" s="194">
        <f>Fintab!F21</f>
        <v>14</v>
      </c>
      <c r="B15" s="194">
        <f>Fintab!G21</f>
        <v>1402754</v>
      </c>
      <c r="C15" s="194">
        <f>Fintab!I21</f>
        <v>1431692</v>
      </c>
      <c r="D15" s="194">
        <v>0</v>
      </c>
      <c r="E15" s="194">
        <v>0</v>
      </c>
      <c r="F15" s="174">
        <f t="shared" si="0"/>
        <v>597259.3200000001</v>
      </c>
      <c r="G15" s="193" t="s">
        <v>394</v>
      </c>
      <c r="H15" s="195">
        <f>IF(Tablica_A!G19&lt;&gt;"",Tablica_A!G19,0)</f>
        <v>23</v>
      </c>
      <c r="I15" s="193" t="s">
        <v>391</v>
      </c>
    </row>
    <row r="16" spans="1:9" ht="12.75" hidden="1">
      <c r="A16" s="194">
        <f>Fintab!F22</f>
        <v>15</v>
      </c>
      <c r="B16" s="194">
        <f>Fintab!G22</f>
        <v>151374</v>
      </c>
      <c r="C16" s="194">
        <f>Fintab!I22</f>
        <v>160311</v>
      </c>
      <c r="D16" s="194">
        <v>0</v>
      </c>
      <c r="E16" s="194">
        <v>0</v>
      </c>
      <c r="F16" s="174">
        <f t="shared" si="0"/>
        <v>70799.4</v>
      </c>
      <c r="G16" s="193" t="s">
        <v>514</v>
      </c>
      <c r="H16" s="194">
        <f>Tablica_A!U15</f>
        <v>32874</v>
      </c>
      <c r="I16" s="193" t="s">
        <v>391</v>
      </c>
    </row>
    <row r="17" spans="1:9" ht="12.75" hidden="1">
      <c r="A17" s="194">
        <f>Fintab!F23</f>
        <v>16</v>
      </c>
      <c r="B17" s="194">
        <f>Fintab!G23</f>
        <v>99951</v>
      </c>
      <c r="C17" s="194">
        <f>Fintab!I23</f>
        <v>167661</v>
      </c>
      <c r="D17" s="194">
        <v>0</v>
      </c>
      <c r="E17" s="194">
        <v>0</v>
      </c>
      <c r="F17" s="174">
        <f t="shared" si="0"/>
        <v>69643.68000000001</v>
      </c>
      <c r="G17" s="193" t="s">
        <v>513</v>
      </c>
      <c r="H17" s="194">
        <f>Tablica_A!U17</f>
        <v>0</v>
      </c>
      <c r="I17" s="193" t="s">
        <v>391</v>
      </c>
    </row>
    <row r="18" spans="1:9" ht="12.75" hidden="1">
      <c r="A18" s="194">
        <f>Fintab!F24</f>
        <v>17</v>
      </c>
      <c r="B18" s="194">
        <f>Fintab!G24</f>
        <v>0</v>
      </c>
      <c r="C18" s="194">
        <f>Fintab!I24</f>
        <v>0</v>
      </c>
      <c r="D18" s="194">
        <v>0</v>
      </c>
      <c r="E18" s="194">
        <v>0</v>
      </c>
      <c r="F18" s="174">
        <f t="shared" si="0"/>
        <v>0</v>
      </c>
      <c r="G18" s="193" t="s">
        <v>517</v>
      </c>
      <c r="H18" s="194">
        <f>Tablica_A!U19</f>
        <v>354</v>
      </c>
      <c r="I18" s="193" t="s">
        <v>391</v>
      </c>
    </row>
    <row r="19" spans="1:9" ht="12.75" hidden="1">
      <c r="A19" s="194">
        <f>Fintab!F25</f>
        <v>18</v>
      </c>
      <c r="B19" s="194">
        <f>Fintab!G25</f>
        <v>4794</v>
      </c>
      <c r="C19" s="194">
        <f>Fintab!I25</f>
        <v>4417</v>
      </c>
      <c r="D19" s="194">
        <v>0</v>
      </c>
      <c r="E19" s="194">
        <v>0</v>
      </c>
      <c r="F19" s="174">
        <f t="shared" si="0"/>
        <v>2453.04</v>
      </c>
      <c r="G19" s="193" t="s">
        <v>515</v>
      </c>
      <c r="H19" s="194">
        <f>IF(LEN(I19)&gt;1,LEN(I19),0)</f>
        <v>5</v>
      </c>
      <c r="I19" s="193" t="str">
        <f>IF(Tablica_A!E21&lt;&gt;"",Tablica_A!E21,"-")</f>
        <v>65121</v>
      </c>
    </row>
    <row r="20" spans="1:9" ht="12.75" hidden="1">
      <c r="A20" s="194">
        <f>Fintab!F26</f>
        <v>19</v>
      </c>
      <c r="B20" s="194">
        <f>Fintab!G26</f>
        <v>228364</v>
      </c>
      <c r="C20" s="194">
        <f>Fintab!I26</f>
        <v>240136</v>
      </c>
      <c r="D20" s="194">
        <v>0</v>
      </c>
      <c r="E20" s="194">
        <v>0</v>
      </c>
      <c r="F20" s="174">
        <f t="shared" si="0"/>
        <v>134640.84</v>
      </c>
      <c r="G20" s="193" t="s">
        <v>516</v>
      </c>
      <c r="H20" s="194">
        <f>IF(LEN(I20)&gt;1,LEN(I20),0)</f>
        <v>19</v>
      </c>
      <c r="I20" s="193" t="str">
        <f>IF(Tablica_A!M21&lt;&gt;"",Tablica_A!M21,"-")</f>
        <v>POSLOVNO BANKARSTVO</v>
      </c>
    </row>
    <row r="21" spans="1:9" ht="12.75" hidden="1">
      <c r="A21" s="194">
        <f>Fintab!F27</f>
        <v>20</v>
      </c>
      <c r="B21" s="194">
        <f>Fintab!G27</f>
        <v>168305</v>
      </c>
      <c r="C21" s="194">
        <f>Fintab!I27</f>
        <v>168305</v>
      </c>
      <c r="D21" s="194">
        <v>0</v>
      </c>
      <c r="E21" s="194">
        <v>0</v>
      </c>
      <c r="F21" s="174">
        <f t="shared" si="0"/>
        <v>100983</v>
      </c>
      <c r="G21" s="193" t="s">
        <v>395</v>
      </c>
      <c r="H21" s="194">
        <f>IF(LEN(I21)&gt;1,LEN(I21),0)</f>
        <v>18</v>
      </c>
      <c r="I21" s="193" t="str">
        <f>IF(Tablica_A!C23&lt;&gt;"",Tablica_A!C23,"-")</f>
        <v>2386002-1000010160</v>
      </c>
    </row>
    <row r="22" spans="1:9" ht="12.75" hidden="1">
      <c r="A22" s="194">
        <f>Fintab!F28</f>
        <v>21</v>
      </c>
      <c r="B22" s="194">
        <f>Fintab!G28</f>
        <v>41494</v>
      </c>
      <c r="C22" s="194">
        <f>Fintab!I28</f>
        <v>58338</v>
      </c>
      <c r="D22" s="194">
        <v>0</v>
      </c>
      <c r="E22" s="194">
        <v>0</v>
      </c>
      <c r="F22" s="174">
        <f t="shared" si="0"/>
        <v>33215.7</v>
      </c>
      <c r="G22" s="193" t="s">
        <v>396</v>
      </c>
      <c r="H22" s="194">
        <f>IF(LEN(I22)&gt;1,LEN(I22),0)</f>
        <v>22</v>
      </c>
      <c r="I22" s="193" t="str">
        <f>IF(Tablica_A!M23&lt;&gt;"",Tablica_A!M23,"-")</f>
        <v>HRVATSKA NARODNA BANKA</v>
      </c>
    </row>
    <row r="23" spans="1:9" ht="12.75" hidden="1">
      <c r="A23" s="194">
        <f>Fintab!F29</f>
        <v>22</v>
      </c>
      <c r="B23" s="194">
        <f>Fintab!G29</f>
        <v>18565</v>
      </c>
      <c r="C23" s="194">
        <f>Fintab!I29</f>
        <v>13493</v>
      </c>
      <c r="D23" s="194">
        <v>0</v>
      </c>
      <c r="E23" s="194">
        <v>0</v>
      </c>
      <c r="F23" s="174">
        <f t="shared" si="0"/>
        <v>10021.22</v>
      </c>
      <c r="G23" s="193" t="s">
        <v>397</v>
      </c>
      <c r="H23" s="194">
        <f>IF(LEN(I23)&gt;1,LEN(I23),0)</f>
        <v>11</v>
      </c>
      <c r="I23" s="193" t="str">
        <f>IF(Tablica_A!C29&lt;&gt;"",Tablica_A!C29,"-")</f>
        <v>JULIO KURUC</v>
      </c>
    </row>
    <row r="24" spans="1:9" ht="12.75" hidden="1">
      <c r="A24" s="194">
        <f>Fintab!F30</f>
        <v>23</v>
      </c>
      <c r="B24" s="194">
        <f>Fintab!G30</f>
        <v>2541281</v>
      </c>
      <c r="C24" s="194">
        <f>Fintab!I30</f>
        <v>2636523</v>
      </c>
      <c r="D24" s="194">
        <v>0</v>
      </c>
      <c r="E24" s="194">
        <v>0</v>
      </c>
      <c r="F24" s="174">
        <f t="shared" si="0"/>
        <v>1797295.21</v>
      </c>
      <c r="G24" s="193" t="s">
        <v>398</v>
      </c>
      <c r="H24" s="194">
        <f>Tablica_A!I29</f>
        <v>19191</v>
      </c>
      <c r="I24" s="193" t="s">
        <v>391</v>
      </c>
    </row>
    <row r="25" spans="1:9" ht="12.75" hidden="1">
      <c r="A25" s="194">
        <f>Fintab!F31</f>
        <v>24</v>
      </c>
      <c r="B25" s="194">
        <f>Fintab!G31</f>
        <v>218941</v>
      </c>
      <c r="C25" s="194">
        <f>Fintab!I31</f>
        <v>238185</v>
      </c>
      <c r="D25" s="194">
        <v>0</v>
      </c>
      <c r="E25" s="194">
        <v>0</v>
      </c>
      <c r="F25" s="174">
        <f t="shared" si="0"/>
        <v>166874.63999999998</v>
      </c>
      <c r="G25" s="193" t="s">
        <v>399</v>
      </c>
      <c r="H25" s="194">
        <f>IF(LEN(I25)&gt;1,LEN(I25),0)</f>
        <v>10</v>
      </c>
      <c r="I25" s="193" t="str">
        <f>IF(Tablica_A!K29&lt;&gt;"",Tablica_A!K29,"-")</f>
        <v>KOPRIVNICA</v>
      </c>
    </row>
    <row r="26" spans="1:9" ht="12.75" hidden="1">
      <c r="A26" s="194">
        <f>Fintab!F32</f>
        <v>25</v>
      </c>
      <c r="B26" s="194">
        <f>Fintab!G32</f>
        <v>84297</v>
      </c>
      <c r="C26" s="194">
        <f>Fintab!I32</f>
        <v>60352</v>
      </c>
      <c r="D26" s="194">
        <v>0</v>
      </c>
      <c r="E26" s="194">
        <v>0</v>
      </c>
      <c r="F26" s="174">
        <f t="shared" si="0"/>
        <v>51250.25</v>
      </c>
      <c r="G26" s="193" t="s">
        <v>400</v>
      </c>
      <c r="H26" s="194">
        <f>IF(LEN(I26)&gt;1,LEN(I26),0)</f>
        <v>15</v>
      </c>
      <c r="I26" s="193" t="str">
        <f>IF(Tablica_A!O29&lt;&gt;"",Tablica_A!O29,"-")</f>
        <v>TOME ŠESTAKA BB</v>
      </c>
    </row>
    <row r="27" spans="1:9" ht="12.75" hidden="1">
      <c r="A27" s="194">
        <f>Fintab!F33</f>
        <v>26</v>
      </c>
      <c r="B27" s="194">
        <f>Fintab!G33</f>
        <v>134644</v>
      </c>
      <c r="C27" s="194">
        <f>Fintab!I33</f>
        <v>177833</v>
      </c>
      <c r="D27" s="194">
        <v>0</v>
      </c>
      <c r="E27" s="194">
        <v>0</v>
      </c>
      <c r="F27" s="174">
        <f t="shared" si="0"/>
        <v>127480.6</v>
      </c>
      <c r="G27" s="193" t="s">
        <v>404</v>
      </c>
      <c r="H27" s="194">
        <f>IF(LEN(I27)&gt;1,LEN(I27),0)</f>
        <v>15</v>
      </c>
      <c r="I27" s="193" t="str">
        <f>IF(Tablica_A!C31&lt;&gt;"",Tablica_A!C31,"-")</f>
        <v>MARIJAN MARUŠIĆ</v>
      </c>
    </row>
    <row r="28" spans="1:9" ht="12.75" hidden="1">
      <c r="A28" s="194">
        <f>Fintab!F45</f>
        <v>27</v>
      </c>
      <c r="B28" s="194">
        <f>Fintab!G45</f>
        <v>58008</v>
      </c>
      <c r="C28" s="194">
        <f>Fintab!H45</f>
        <v>29584</v>
      </c>
      <c r="D28" s="194">
        <f>Fintab!I45</f>
        <v>79008</v>
      </c>
      <c r="E28" s="194">
        <f>Fintab!J45</f>
        <v>40665</v>
      </c>
      <c r="F28" s="174">
        <f t="shared" si="0"/>
        <v>139552.2</v>
      </c>
      <c r="G28" s="193" t="s">
        <v>401</v>
      </c>
      <c r="H28" s="194">
        <f>Tablica_A!I31</f>
        <v>18892</v>
      </c>
      <c r="I28" s="193" t="s">
        <v>391</v>
      </c>
    </row>
    <row r="29" spans="1:9" ht="12.75" hidden="1">
      <c r="A29" s="194">
        <f>Fintab!F46</f>
        <v>28</v>
      </c>
      <c r="B29" s="194">
        <f>Fintab!G46</f>
        <v>37277</v>
      </c>
      <c r="C29" s="194">
        <f>Fintab!H46</f>
        <v>19035</v>
      </c>
      <c r="D29" s="194">
        <f>Fintab!I46</f>
        <v>44780</v>
      </c>
      <c r="E29" s="194">
        <f>Fintab!J46</f>
        <v>23167</v>
      </c>
      <c r="F29" s="174">
        <f aca="true" t="shared" si="2" ref="F29:F55">A29/100*(B29+C29*2+D29*3+E29*4)</f>
        <v>84659.40000000001</v>
      </c>
      <c r="G29" s="193" t="s">
        <v>402</v>
      </c>
      <c r="H29" s="194">
        <f>IF(LEN(I29)&gt;1,LEN(I29),0)</f>
        <v>8</v>
      </c>
      <c r="I29" s="193" t="str">
        <f>IF(Tablica_A!K31&lt;&gt;"",Tablica_A!K31,"-")</f>
        <v>BJELOVAR</v>
      </c>
    </row>
    <row r="30" spans="1:9" ht="12.75" hidden="1">
      <c r="A30" s="194">
        <f>Fintab!F47</f>
        <v>29</v>
      </c>
      <c r="B30" s="194">
        <f>Fintab!G47</f>
        <v>14930</v>
      </c>
      <c r="C30" s="194">
        <f>Fintab!H47</f>
        <v>7848</v>
      </c>
      <c r="D30" s="194">
        <f>Fintab!I47</f>
        <v>22805</v>
      </c>
      <c r="E30" s="194">
        <f>Fintab!J47</f>
        <v>11758</v>
      </c>
      <c r="F30" s="174">
        <f t="shared" si="2"/>
        <v>42361.17</v>
      </c>
      <c r="G30" s="193" t="s">
        <v>403</v>
      </c>
      <c r="H30" s="194">
        <f>IF(LEN(I30)&gt;1,LEN(I30),0)</f>
        <v>18</v>
      </c>
      <c r="I30" s="193" t="str">
        <f>IF(Tablica_A!O31&lt;&gt;"",Tablica_A!O31,"-")</f>
        <v>PETRA BIŠKUPA 24/A</v>
      </c>
    </row>
    <row r="31" spans="1:9" ht="12.75" hidden="1">
      <c r="A31" s="194">
        <f>Fintab!F48</f>
        <v>30</v>
      </c>
      <c r="B31" s="194">
        <f>Fintab!G48</f>
        <v>2649</v>
      </c>
      <c r="C31" s="194">
        <f>Fintab!H48</f>
        <v>1446</v>
      </c>
      <c r="D31" s="194">
        <f>Fintab!I48</f>
        <v>8347</v>
      </c>
      <c r="E31" s="194">
        <f>Fintab!J48</f>
        <v>4354</v>
      </c>
      <c r="F31" s="174">
        <f t="shared" si="2"/>
        <v>14399.4</v>
      </c>
      <c r="G31" s="193" t="s">
        <v>408</v>
      </c>
      <c r="H31" s="194">
        <f>IF(LEN(I31)&gt;1,LEN(I31),0)</f>
        <v>13</v>
      </c>
      <c r="I31" s="193" t="str">
        <f>IF(Tablica_A!C33&lt;&gt;"",Tablica_A!C33,"-")</f>
        <v>DAVORKA JAKIR</v>
      </c>
    </row>
    <row r="32" spans="1:9" ht="12.75" hidden="1">
      <c r="A32" s="194">
        <f>Fintab!F49</f>
        <v>31</v>
      </c>
      <c r="B32" s="194">
        <f>Fintab!G49</f>
        <v>3152</v>
      </c>
      <c r="C32" s="194">
        <f>Fintab!H49</f>
        <v>1255</v>
      </c>
      <c r="D32" s="194">
        <f>Fintab!I49</f>
        <v>3076</v>
      </c>
      <c r="E32" s="194">
        <f>Fintab!J49</f>
        <v>1386</v>
      </c>
      <c r="F32" s="174">
        <f t="shared" si="2"/>
        <v>6334.54</v>
      </c>
      <c r="G32" s="193" t="s">
        <v>405</v>
      </c>
      <c r="H32" s="194">
        <f>Tablica_A!I33</f>
        <v>18653</v>
      </c>
      <c r="I32" s="193" t="s">
        <v>391</v>
      </c>
    </row>
    <row r="33" spans="1:9" ht="12.75" hidden="1">
      <c r="A33" s="194">
        <f>Fintab!F50</f>
        <v>32</v>
      </c>
      <c r="B33" s="194">
        <f>Fintab!G50</f>
        <v>27473</v>
      </c>
      <c r="C33" s="194">
        <f>Fintab!H50</f>
        <v>13894</v>
      </c>
      <c r="D33" s="194">
        <f>Fintab!I50</f>
        <v>36671</v>
      </c>
      <c r="E33" s="194">
        <f>Fintab!J50</f>
        <v>18344</v>
      </c>
      <c r="F33" s="174">
        <f t="shared" si="2"/>
        <v>76368</v>
      </c>
      <c r="G33" s="193" t="s">
        <v>406</v>
      </c>
      <c r="H33" s="194">
        <f>IF(LEN(I33)&gt;1,LEN(I33),0)</f>
        <v>5</v>
      </c>
      <c r="I33" s="193" t="str">
        <f>IF(Tablica_A!K33&lt;&gt;"",Tablica_A!K33,"-")</f>
        <v>SISAK</v>
      </c>
    </row>
    <row r="34" spans="1:9" ht="12.75" hidden="1">
      <c r="A34" s="194">
        <f>Fintab!F51</f>
        <v>33</v>
      </c>
      <c r="B34" s="194">
        <f>Fintab!G51</f>
        <v>14119</v>
      </c>
      <c r="C34" s="194">
        <f>Fintab!H51</f>
        <v>7165</v>
      </c>
      <c r="D34" s="194">
        <f>Fintab!I51</f>
        <v>20155</v>
      </c>
      <c r="E34" s="194">
        <f>Fintab!J51</f>
        <v>10333</v>
      </c>
      <c r="F34" s="174">
        <f t="shared" si="2"/>
        <v>42981.18</v>
      </c>
      <c r="G34" s="193" t="s">
        <v>407</v>
      </c>
      <c r="H34" s="194">
        <f>IF(LEN(I34)&gt;1,LEN(I34),0)</f>
        <v>14</v>
      </c>
      <c r="I34" s="193" t="str">
        <f>IF(Tablica_A!O33&lt;&gt;"",Tablica_A!O33,"-")</f>
        <v>A.G. MATOŠA 17</v>
      </c>
    </row>
    <row r="35" spans="1:9" ht="12.75" hidden="1">
      <c r="A35" s="194">
        <f>Fintab!F52</f>
        <v>34</v>
      </c>
      <c r="B35" s="194">
        <f>Fintab!G52</f>
        <v>2156</v>
      </c>
      <c r="C35" s="194">
        <f>Fintab!H52</f>
        <v>619</v>
      </c>
      <c r="D35" s="194">
        <f>Fintab!I52</f>
        <v>4620</v>
      </c>
      <c r="E35" s="194">
        <f>Fintab!J52</f>
        <v>2383</v>
      </c>
      <c r="F35" s="174">
        <f t="shared" si="2"/>
        <v>9107.24</v>
      </c>
      <c r="G35" s="193" t="s">
        <v>412</v>
      </c>
      <c r="H35" s="194">
        <f>IF(LEN(I35)&gt;1,LEN(I35),0)</f>
        <v>0</v>
      </c>
      <c r="I35" s="193" t="str">
        <f>IF(Tablica_A!C35&lt;&gt;"",Tablica_A!C35,"-")</f>
        <v>-</v>
      </c>
    </row>
    <row r="36" spans="1:9" ht="12.75" hidden="1">
      <c r="A36" s="194">
        <f>Fintab!F53</f>
        <v>35</v>
      </c>
      <c r="B36" s="194">
        <f>Fintab!G53</f>
        <v>7082</v>
      </c>
      <c r="C36" s="194">
        <f>Fintab!H53</f>
        <v>3597</v>
      </c>
      <c r="D36" s="194">
        <f>Fintab!I53</f>
        <v>6630</v>
      </c>
      <c r="E36" s="194">
        <f>Fintab!J53</f>
        <v>3218</v>
      </c>
      <c r="F36" s="174">
        <f t="shared" si="2"/>
        <v>16463.3</v>
      </c>
      <c r="G36" s="193" t="s">
        <v>409</v>
      </c>
      <c r="H36" s="194">
        <f>Tablica_A!I35</f>
        <v>0</v>
      </c>
      <c r="I36" s="193" t="s">
        <v>391</v>
      </c>
    </row>
    <row r="37" spans="1:9" ht="12.75" hidden="1">
      <c r="A37" s="194">
        <f>Fintab!F54</f>
        <v>36</v>
      </c>
      <c r="B37" s="194">
        <f>Fintab!G54</f>
        <v>4116</v>
      </c>
      <c r="C37" s="194">
        <f>Fintab!H54</f>
        <v>2513</v>
      </c>
      <c r="D37" s="194">
        <f>Fintab!I54</f>
        <v>5266</v>
      </c>
      <c r="E37" s="194">
        <f>Fintab!J54</f>
        <v>2410</v>
      </c>
      <c r="F37" s="174">
        <f t="shared" si="2"/>
        <v>12448.8</v>
      </c>
      <c r="G37" s="193" t="s">
        <v>410</v>
      </c>
      <c r="H37" s="194">
        <f>IF(LEN(I37)&gt;1,LEN(I37),0)</f>
        <v>0</v>
      </c>
      <c r="I37" s="193" t="str">
        <f>IF(Tablica_A!K35&lt;&gt;"",Tablica_A!K35,"-")</f>
        <v>-</v>
      </c>
    </row>
    <row r="38" spans="1:9" ht="12.75" hidden="1">
      <c r="A38" s="194">
        <f>Fintab!F55</f>
        <v>37</v>
      </c>
      <c r="B38" s="194">
        <f>Fintab!G55</f>
        <v>30535</v>
      </c>
      <c r="C38" s="194">
        <f>Fintab!H55</f>
        <v>15690</v>
      </c>
      <c r="D38" s="194">
        <f>Fintab!I55</f>
        <v>42337</v>
      </c>
      <c r="E38" s="194">
        <f>Fintab!J55</f>
        <v>22321</v>
      </c>
      <c r="F38" s="174">
        <f t="shared" si="2"/>
        <v>102937.7</v>
      </c>
      <c r="G38" s="193" t="s">
        <v>411</v>
      </c>
      <c r="H38" s="194">
        <f>IF(LEN(I38)&gt;1,LEN(I38),0)</f>
        <v>0</v>
      </c>
      <c r="I38" s="193" t="str">
        <f>IF(Tablica_A!O35&lt;&gt;"",Tablica_A!O35,"-")</f>
        <v>-</v>
      </c>
    </row>
    <row r="39" spans="1:9" ht="12.75" hidden="1">
      <c r="A39" s="194">
        <f>Fintab!F56</f>
        <v>38</v>
      </c>
      <c r="B39" s="194">
        <f>Fintab!G56</f>
        <v>13733</v>
      </c>
      <c r="C39" s="194">
        <f>Fintab!H56</f>
        <v>6385</v>
      </c>
      <c r="D39" s="194">
        <f>Fintab!I56</f>
        <v>18678</v>
      </c>
      <c r="E39" s="194">
        <f>Fintab!J56</f>
        <v>10551</v>
      </c>
      <c r="F39" s="174">
        <f t="shared" si="2"/>
        <v>47401.58</v>
      </c>
      <c r="G39" s="193" t="s">
        <v>416</v>
      </c>
      <c r="H39" s="194">
        <f>IF(LEN(I39)&gt;1,LEN(I39),0)</f>
        <v>0</v>
      </c>
      <c r="I39" s="193" t="str">
        <f>IF(Tablica_A!C37&lt;&gt;"",Tablica_A!C37,"-")</f>
        <v>-</v>
      </c>
    </row>
    <row r="40" spans="1:9" ht="12.75" hidden="1">
      <c r="A40" s="194">
        <f>Fintab!F57</f>
        <v>39</v>
      </c>
      <c r="B40" s="194">
        <f>Fintab!G57</f>
        <v>19485</v>
      </c>
      <c r="C40" s="194">
        <f>Fintab!H57</f>
        <v>9450</v>
      </c>
      <c r="D40" s="194">
        <f>Fintab!I57</f>
        <v>25769</v>
      </c>
      <c r="E40" s="194">
        <f>Fintab!J57</f>
        <v>14192</v>
      </c>
      <c r="F40" s="174">
        <f t="shared" si="2"/>
        <v>67259.40000000001</v>
      </c>
      <c r="G40" s="193" t="s">
        <v>413</v>
      </c>
      <c r="H40" s="194">
        <f>Tablica_A!I37</f>
        <v>0</v>
      </c>
      <c r="I40" s="193" t="s">
        <v>391</v>
      </c>
    </row>
    <row r="41" spans="1:9" ht="12.75" hidden="1">
      <c r="A41" s="194">
        <f>Fintab!F58</f>
        <v>40</v>
      </c>
      <c r="B41" s="194">
        <f>Fintab!G58</f>
        <v>5752</v>
      </c>
      <c r="C41" s="194">
        <f>Fintab!H58</f>
        <v>3065</v>
      </c>
      <c r="D41" s="194">
        <f>Fintab!I58</f>
        <v>7091</v>
      </c>
      <c r="E41" s="194">
        <f>Fintab!J58</f>
        <v>3641</v>
      </c>
      <c r="F41" s="174">
        <f t="shared" si="2"/>
        <v>19087.600000000002</v>
      </c>
      <c r="G41" s="193" t="s">
        <v>414</v>
      </c>
      <c r="H41" s="194">
        <f>IF(LEN(I41)&gt;1,LEN(I41),0)</f>
        <v>0</v>
      </c>
      <c r="I41" s="193" t="str">
        <f>IF(Tablica_A!K37&lt;&gt;"",Tablica_A!K37,"-")</f>
        <v>-</v>
      </c>
    </row>
    <row r="42" spans="1:9" ht="12.75" hidden="1">
      <c r="A42" s="194">
        <f>Fintab!F59</f>
        <v>41</v>
      </c>
      <c r="B42" s="194">
        <f>Fintab!G59</f>
        <v>2078</v>
      </c>
      <c r="C42" s="194">
        <f>Fintab!H59</f>
        <v>-607</v>
      </c>
      <c r="D42" s="194">
        <f>Fintab!I59</f>
        <v>9970</v>
      </c>
      <c r="E42" s="194">
        <f>Fintab!J59</f>
        <v>2374</v>
      </c>
      <c r="F42" s="174">
        <f t="shared" si="2"/>
        <v>16510.7</v>
      </c>
      <c r="G42" s="193" t="s">
        <v>415</v>
      </c>
      <c r="H42" s="194">
        <f>IF(LEN(I42)&gt;1,LEN(I42),0)</f>
        <v>0</v>
      </c>
      <c r="I42" s="193" t="str">
        <f>IF(Tablica_A!O37&lt;&gt;"",Tablica_A!O37,"-")</f>
        <v>-</v>
      </c>
    </row>
    <row r="43" spans="1:9" ht="12.75" hidden="1">
      <c r="A43" s="194">
        <f>Fintab!F60</f>
        <v>42</v>
      </c>
      <c r="B43" s="194">
        <f>Fintab!G60</f>
        <v>0</v>
      </c>
      <c r="C43" s="194">
        <f>Fintab!H60</f>
        <v>0</v>
      </c>
      <c r="D43" s="194">
        <f>Fintab!I60</f>
        <v>515</v>
      </c>
      <c r="E43" s="194">
        <f>Fintab!J60</f>
        <v>515</v>
      </c>
      <c r="F43" s="174">
        <f t="shared" si="2"/>
        <v>1514.1</v>
      </c>
      <c r="G43" s="193" t="s">
        <v>420</v>
      </c>
      <c r="H43" s="194">
        <f>IF(LEN(I43)&gt;1,LEN(I43),0)</f>
        <v>0</v>
      </c>
      <c r="I43" s="193" t="str">
        <f>IF(Tablica_A!C39&lt;&gt;"",Tablica_A!C39,"-")</f>
        <v>-</v>
      </c>
    </row>
    <row r="44" spans="1:9" ht="12.75" hidden="1">
      <c r="A44" s="194">
        <f>Fintab!F61</f>
        <v>43</v>
      </c>
      <c r="B44" s="194">
        <f>Fintab!G61</f>
        <v>216</v>
      </c>
      <c r="C44" s="194">
        <f>Fintab!H61</f>
        <v>76</v>
      </c>
      <c r="D44" s="194">
        <f>Fintab!I61</f>
        <v>2493</v>
      </c>
      <c r="E44" s="194">
        <f>Fintab!J61</f>
        <v>1228</v>
      </c>
      <c r="F44" s="174">
        <f t="shared" si="2"/>
        <v>5486.37</v>
      </c>
      <c r="G44" s="193" t="s">
        <v>417</v>
      </c>
      <c r="H44" s="194">
        <f>Tablica_A!I39</f>
        <v>0</v>
      </c>
      <c r="I44" s="193" t="s">
        <v>391</v>
      </c>
    </row>
    <row r="45" spans="1:9" ht="12.75" hidden="1">
      <c r="A45" s="194">
        <f>Fintab!F62</f>
        <v>44</v>
      </c>
      <c r="B45" s="194">
        <f>Fintab!G62</f>
        <v>1862</v>
      </c>
      <c r="C45" s="194">
        <f>Fintab!H62</f>
        <v>-683</v>
      </c>
      <c r="D45" s="194">
        <f>Fintab!I62</f>
        <v>6962</v>
      </c>
      <c r="E45" s="194">
        <f>Fintab!J62</f>
        <v>631</v>
      </c>
      <c r="F45" s="174">
        <f t="shared" si="2"/>
        <v>10518.64</v>
      </c>
      <c r="G45" s="193" t="s">
        <v>418</v>
      </c>
      <c r="H45" s="194">
        <f>IF(LEN(I45)&gt;1,LEN(I45),0)</f>
        <v>0</v>
      </c>
      <c r="I45" s="193" t="str">
        <f>IF(Tablica_A!K39&lt;&gt;"",Tablica_A!K39,"-")</f>
        <v>-</v>
      </c>
    </row>
    <row r="46" spans="1:9" ht="12.75" hidden="1">
      <c r="A46" s="194">
        <f>Fintab!F63</f>
        <v>45</v>
      </c>
      <c r="B46" s="194">
        <f>Fintab!G63</f>
        <v>6434</v>
      </c>
      <c r="C46" s="194">
        <f>Fintab!H63</f>
        <v>2614</v>
      </c>
      <c r="D46" s="194">
        <f>Fintab!I63</f>
        <v>6323</v>
      </c>
      <c r="E46" s="194">
        <f>Fintab!J63</f>
        <v>2669</v>
      </c>
      <c r="F46" s="174">
        <f t="shared" si="2"/>
        <v>18588.15</v>
      </c>
      <c r="G46" s="193" t="s">
        <v>419</v>
      </c>
      <c r="H46" s="194">
        <f>IF(LEN(I46)&gt;1,LEN(I46),0)</f>
        <v>0</v>
      </c>
      <c r="I46" s="193" t="str">
        <f>IF(Tablica_A!O39&lt;&gt;"",Tablica_A!O39,"-")</f>
        <v>-</v>
      </c>
    </row>
    <row r="47" spans="1:9" ht="12.75" hidden="1">
      <c r="A47" s="194">
        <f>Fintab!F64</f>
        <v>46</v>
      </c>
      <c r="B47" s="194">
        <f>Fintab!G64</f>
        <v>42964</v>
      </c>
      <c r="C47" s="194">
        <f>Fintab!H64</f>
        <v>22384</v>
      </c>
      <c r="D47" s="194">
        <f>Fintab!I64</f>
        <v>58514</v>
      </c>
      <c r="E47" s="194">
        <f>Fintab!J64</f>
        <v>27783</v>
      </c>
      <c r="F47" s="174">
        <f t="shared" si="2"/>
        <v>172226.76</v>
      </c>
      <c r="G47" s="193" t="s">
        <v>424</v>
      </c>
      <c r="H47" s="194">
        <f>IF(LEN(I47)&gt;1,LEN(I47),0)</f>
        <v>0</v>
      </c>
      <c r="I47" s="193" t="str">
        <f>IF(Tablica_A!C41&lt;&gt;"",Tablica_A!C41,"-")</f>
        <v>-</v>
      </c>
    </row>
    <row r="48" spans="1:9" ht="12.75" hidden="1">
      <c r="A48" s="194">
        <f>Fintab!F65</f>
        <v>47</v>
      </c>
      <c r="B48" s="194">
        <f>Fintab!G65</f>
        <v>16615</v>
      </c>
      <c r="C48" s="194">
        <f>Fintab!H65</f>
        <v>9174</v>
      </c>
      <c r="D48" s="194">
        <f>Fintab!I65</f>
        <v>21773</v>
      </c>
      <c r="E48" s="194">
        <f>Fintab!J65</f>
        <v>11210</v>
      </c>
      <c r="F48" s="174">
        <f t="shared" si="2"/>
        <v>68207.34</v>
      </c>
      <c r="G48" s="193" t="s">
        <v>423</v>
      </c>
      <c r="H48" s="194">
        <f>Tablica_A!I41</f>
        <v>0</v>
      </c>
      <c r="I48" s="193" t="s">
        <v>391</v>
      </c>
    </row>
    <row r="49" spans="1:9" ht="12.75" hidden="1">
      <c r="A49" s="194">
        <f>Fintab!F66</f>
        <v>48</v>
      </c>
      <c r="B49" s="194">
        <f>Fintab!G66</f>
        <v>26349</v>
      </c>
      <c r="C49" s="194">
        <f>Fintab!H66</f>
        <v>13210</v>
      </c>
      <c r="D49" s="194">
        <f>Fintab!I66</f>
        <v>36741</v>
      </c>
      <c r="E49" s="194">
        <f>Fintab!J66</f>
        <v>16573</v>
      </c>
      <c r="F49" s="174">
        <f t="shared" si="2"/>
        <v>110056.31999999999</v>
      </c>
      <c r="G49" s="193" t="s">
        <v>421</v>
      </c>
      <c r="H49" s="194">
        <f>IF(LEN(I49)&gt;1,LEN(I49),0)</f>
        <v>0</v>
      </c>
      <c r="I49" s="193" t="str">
        <f>IF(Tablica_A!K41&lt;&gt;"",Tablica_A!K41,"-")</f>
        <v>-</v>
      </c>
    </row>
    <row r="50" spans="1:9" ht="12.75" hidden="1">
      <c r="A50" s="194">
        <f>Fintab!F67</f>
        <v>49</v>
      </c>
      <c r="B50" s="194">
        <f>Fintab!G67</f>
        <v>9816</v>
      </c>
      <c r="C50" s="194">
        <f>Fintab!H67</f>
        <v>1698</v>
      </c>
      <c r="D50" s="194">
        <f>Fintab!I67</f>
        <v>18794</v>
      </c>
      <c r="E50" s="194">
        <f>Fintab!J67</f>
        <v>10132</v>
      </c>
      <c r="F50" s="174">
        <f t="shared" si="2"/>
        <v>53959.78</v>
      </c>
      <c r="G50" s="193" t="s">
        <v>422</v>
      </c>
      <c r="H50" s="194">
        <f>IF(LEN(I50)&gt;1,LEN(I50),0)</f>
        <v>0</v>
      </c>
      <c r="I50" s="193" t="str">
        <f>IF(Tablica_A!O41&lt;&gt;"",Tablica_A!O41,"-")</f>
        <v>-</v>
      </c>
    </row>
    <row r="51" spans="1:9" ht="12.75" hidden="1">
      <c r="A51" s="194">
        <f>Fintab!F68</f>
        <v>50</v>
      </c>
      <c r="B51" s="194">
        <f>Fintab!G68</f>
        <v>-3127</v>
      </c>
      <c r="C51" s="194">
        <f>Fintab!H68</f>
        <v>-38</v>
      </c>
      <c r="D51" s="194">
        <f>Fintab!I68</f>
        <v>-5301</v>
      </c>
      <c r="E51" s="194">
        <f>Fintab!J68</f>
        <v>-4137</v>
      </c>
      <c r="F51" s="174">
        <f t="shared" si="2"/>
        <v>-17827</v>
      </c>
      <c r="G51" s="193" t="s">
        <v>428</v>
      </c>
      <c r="H51" s="194">
        <f>IF(LEN(I51)&gt;1,LEN(I51),0)</f>
        <v>0</v>
      </c>
      <c r="I51" s="193" t="str">
        <f>IF(Tablica_A!C43&lt;&gt;"",Tablica_A!C43,"-")</f>
        <v>-</v>
      </c>
    </row>
    <row r="52" spans="1:9" ht="12.75" hidden="1">
      <c r="A52" s="194">
        <f>Fintab!F69</f>
        <v>51</v>
      </c>
      <c r="B52" s="194">
        <f>Fintab!G69</f>
        <v>6689</v>
      </c>
      <c r="C52" s="194">
        <f>Fintab!H69</f>
        <v>1660</v>
      </c>
      <c r="D52" s="194">
        <f>Fintab!I69</f>
        <v>13493</v>
      </c>
      <c r="E52" s="194">
        <f>Fintab!J69</f>
        <v>5995</v>
      </c>
      <c r="F52" s="174">
        <f t="shared" si="2"/>
        <v>37978.68</v>
      </c>
      <c r="G52" s="193" t="s">
        <v>425</v>
      </c>
      <c r="H52" s="194">
        <f>Tablica_A!I43</f>
        <v>0</v>
      </c>
      <c r="I52" s="193" t="s">
        <v>391</v>
      </c>
    </row>
    <row r="53" spans="1:9" ht="12.75" hidden="1">
      <c r="A53" s="194">
        <f>Fintab!F70</f>
        <v>52</v>
      </c>
      <c r="B53" s="194">
        <f>Fintab!G70</f>
        <v>0</v>
      </c>
      <c r="C53" s="194">
        <f>Fintab!H70</f>
        <v>0</v>
      </c>
      <c r="D53" s="194">
        <f>Fintab!I70</f>
        <v>0</v>
      </c>
      <c r="E53" s="194">
        <f>Fintab!J70</f>
        <v>0</v>
      </c>
      <c r="F53" s="174">
        <f t="shared" si="2"/>
        <v>0</v>
      </c>
      <c r="G53" s="193" t="s">
        <v>426</v>
      </c>
      <c r="H53" s="194">
        <f>IF(LEN(I53)&gt;1,LEN(I53),0)</f>
        <v>0</v>
      </c>
      <c r="I53" s="193" t="str">
        <f>IF(Tablica_A!K43&lt;&gt;"",Tablica_A!K43,"-")</f>
        <v>-</v>
      </c>
    </row>
    <row r="54" spans="1:9" ht="12.75" hidden="1">
      <c r="A54" s="194">
        <f>Fintab!F71</f>
        <v>53</v>
      </c>
      <c r="B54" s="194">
        <f>Fintab!G71</f>
        <v>6689</v>
      </c>
      <c r="C54" s="194">
        <f>Fintab!H71</f>
        <v>1660</v>
      </c>
      <c r="D54" s="194">
        <f>Fintab!I71</f>
        <v>13493</v>
      </c>
      <c r="E54" s="194">
        <f>Fintab!J71</f>
        <v>5995</v>
      </c>
      <c r="F54" s="174">
        <f t="shared" si="2"/>
        <v>39468.04</v>
      </c>
      <c r="G54" s="193" t="s">
        <v>427</v>
      </c>
      <c r="H54" s="194">
        <f>IF(LEN(I54)&gt;1,LEN(I54),0)</f>
        <v>0</v>
      </c>
      <c r="I54" s="193" t="str">
        <f>IF(Tablica_A!O43&lt;&gt;"",Tablica_A!O43,"-")</f>
        <v>-</v>
      </c>
    </row>
    <row r="55" spans="1:9" ht="12.75" hidden="1">
      <c r="A55" s="194">
        <f>Fintab!F80</f>
        <v>54</v>
      </c>
      <c r="B55" s="194">
        <f>Fintab!G80</f>
        <v>-6123</v>
      </c>
      <c r="C55" s="194">
        <f>Fintab!I80</f>
        <v>25382</v>
      </c>
      <c r="D55" s="194">
        <v>0</v>
      </c>
      <c r="E55" s="194">
        <v>0</v>
      </c>
      <c r="F55" s="174">
        <f t="shared" si="2"/>
        <v>24106.140000000003</v>
      </c>
      <c r="G55" s="193" t="s">
        <v>432</v>
      </c>
      <c r="H55" s="194">
        <f>IF(LEN(I55)&gt;1,LEN(I55),0)</f>
        <v>0</v>
      </c>
      <c r="I55" s="193" t="str">
        <f>IF(Tablica_A!C45&lt;&gt;"",Tablica_A!C45,"-")</f>
        <v>-</v>
      </c>
    </row>
    <row r="56" spans="1:9" ht="12.75" hidden="1">
      <c r="A56" s="194">
        <f>Fintab!F81</f>
        <v>55</v>
      </c>
      <c r="B56" s="194">
        <f>Fintab!G81</f>
        <v>6689</v>
      </c>
      <c r="C56" s="194">
        <f>Fintab!I81</f>
        <v>13493</v>
      </c>
      <c r="D56" s="194">
        <v>0</v>
      </c>
      <c r="E56" s="194">
        <v>0</v>
      </c>
      <c r="F56" s="174">
        <f aca="true" t="shared" si="3" ref="F56:F83">A56/100*(B56+C56*2+D56*3+E56*4)</f>
        <v>18521.25</v>
      </c>
      <c r="G56" s="193" t="s">
        <v>429</v>
      </c>
      <c r="H56" s="194">
        <f>Tablica_A!I45</f>
        <v>0</v>
      </c>
      <c r="I56" s="193" t="s">
        <v>391</v>
      </c>
    </row>
    <row r="57" spans="1:9" ht="12.75" hidden="1">
      <c r="A57" s="194">
        <f>Fintab!F82</f>
        <v>56</v>
      </c>
      <c r="B57" s="194">
        <f>Fintab!G82</f>
        <v>6164</v>
      </c>
      <c r="C57" s="194">
        <f>Fintab!I82</f>
        <v>6870</v>
      </c>
      <c r="D57" s="194">
        <v>0</v>
      </c>
      <c r="E57" s="194">
        <v>0</v>
      </c>
      <c r="F57" s="174">
        <f t="shared" si="3"/>
        <v>11146.240000000002</v>
      </c>
      <c r="G57" s="193" t="s">
        <v>430</v>
      </c>
      <c r="H57" s="194">
        <f>IF(LEN(I57)&gt;1,LEN(I57),0)</f>
        <v>0</v>
      </c>
      <c r="I57" s="193" t="str">
        <f>IF(Tablica_A!K45&lt;&gt;"",Tablica_A!K45,"-")</f>
        <v>-</v>
      </c>
    </row>
    <row r="58" spans="1:9" ht="12.75" hidden="1">
      <c r="A58" s="194">
        <f>Fintab!F83</f>
        <v>57</v>
      </c>
      <c r="B58" s="194">
        <f>Fintab!G83</f>
        <v>-39823</v>
      </c>
      <c r="C58" s="194">
        <f>Fintab!I83</f>
        <v>-36528</v>
      </c>
      <c r="D58" s="194">
        <v>0</v>
      </c>
      <c r="E58" s="194">
        <v>0</v>
      </c>
      <c r="F58" s="174">
        <f t="shared" si="3"/>
        <v>-64341.02999999999</v>
      </c>
      <c r="G58" s="193" t="s">
        <v>431</v>
      </c>
      <c r="H58" s="194">
        <f>IF(LEN(I58)&gt;1,LEN(I58),0)</f>
        <v>0</v>
      </c>
      <c r="I58" s="193" t="str">
        <f>IF(Tablica_A!O45&lt;&gt;"",Tablica_A!O45,"-")</f>
        <v>-</v>
      </c>
    </row>
    <row r="59" spans="1:9" ht="12.75" hidden="1">
      <c r="A59" s="194">
        <f>Fintab!F84</f>
        <v>58</v>
      </c>
      <c r="B59" s="194">
        <f>Fintab!G84</f>
        <v>31231</v>
      </c>
      <c r="C59" s="194">
        <f>Fintab!I84</f>
        <v>74335</v>
      </c>
      <c r="D59" s="194">
        <v>0</v>
      </c>
      <c r="E59" s="194">
        <v>0</v>
      </c>
      <c r="F59" s="174">
        <f t="shared" si="3"/>
        <v>104342.57999999999</v>
      </c>
      <c r="G59" s="193" t="s">
        <v>436</v>
      </c>
      <c r="H59" s="194">
        <f>IF(LEN(I59)&gt;1,LEN(I59),0)</f>
        <v>0</v>
      </c>
      <c r="I59" s="193" t="str">
        <f>IF(Tablica_A!C47&lt;&gt;"",Tablica_A!C47,"-")</f>
        <v>-</v>
      </c>
    </row>
    <row r="60" spans="1:9" ht="12.75" hidden="1">
      <c r="A60" s="194">
        <f>Fintab!F85</f>
        <v>59</v>
      </c>
      <c r="B60" s="194">
        <f>Fintab!G85</f>
        <v>-9000</v>
      </c>
      <c r="C60" s="194">
        <f>Fintab!I85</f>
        <v>2021</v>
      </c>
      <c r="D60" s="194">
        <v>0</v>
      </c>
      <c r="E60" s="194">
        <v>0</v>
      </c>
      <c r="F60" s="174">
        <f t="shared" si="3"/>
        <v>-2925.22</v>
      </c>
      <c r="G60" s="193" t="s">
        <v>433</v>
      </c>
      <c r="H60" s="194">
        <f>Tablica_A!I47</f>
        <v>0</v>
      </c>
      <c r="I60" s="193" t="s">
        <v>391</v>
      </c>
    </row>
    <row r="61" spans="1:9" ht="12.75" hidden="1">
      <c r="A61" s="194">
        <f>Fintab!F86</f>
        <v>60</v>
      </c>
      <c r="B61" s="194">
        <f>Fintab!G86</f>
        <v>-75775</v>
      </c>
      <c r="C61" s="194">
        <f>Fintab!I86</f>
        <v>-118459</v>
      </c>
      <c r="D61" s="194">
        <v>0</v>
      </c>
      <c r="E61" s="194">
        <v>0</v>
      </c>
      <c r="F61" s="174">
        <f t="shared" si="3"/>
        <v>-187615.8</v>
      </c>
      <c r="G61" s="193" t="s">
        <v>434</v>
      </c>
      <c r="H61" s="194">
        <f>IF(LEN(I61)&gt;1,LEN(I61),0)</f>
        <v>0</v>
      </c>
      <c r="I61" s="193" t="str">
        <f>IF(Tablica_A!K47&lt;&gt;"",Tablica_A!K47,"-")</f>
        <v>-</v>
      </c>
    </row>
    <row r="62" spans="1:9" ht="12.75" hidden="1">
      <c r="A62" s="194">
        <f>Fintab!F87</f>
        <v>61</v>
      </c>
      <c r="B62" s="194">
        <f>Fintab!G87</f>
        <v>3866</v>
      </c>
      <c r="C62" s="194">
        <f>Fintab!I87</f>
        <v>180</v>
      </c>
      <c r="D62" s="194">
        <v>0</v>
      </c>
      <c r="E62" s="194">
        <v>0</v>
      </c>
      <c r="F62" s="174">
        <f t="shared" si="3"/>
        <v>2577.86</v>
      </c>
      <c r="G62" s="193" t="s">
        <v>435</v>
      </c>
      <c r="H62" s="194">
        <f>IF(LEN(I62)&gt;1,LEN(I62),0)</f>
        <v>0</v>
      </c>
      <c r="I62" s="193" t="str">
        <f>IF(Tablica_A!O47&lt;&gt;"",Tablica_A!O47,"-")</f>
        <v>-</v>
      </c>
    </row>
    <row r="63" spans="1:9" ht="12.75" hidden="1">
      <c r="A63" s="194">
        <f>Fintab!F88</f>
        <v>62</v>
      </c>
      <c r="B63" s="194">
        <f>Fintab!G88</f>
        <v>-16165</v>
      </c>
      <c r="C63" s="194">
        <f>Fintab!I88</f>
        <v>-21738</v>
      </c>
      <c r="D63" s="194">
        <v>0</v>
      </c>
      <c r="E63" s="194">
        <v>0</v>
      </c>
      <c r="F63" s="174">
        <f t="shared" si="3"/>
        <v>-36977.42</v>
      </c>
      <c r="G63" s="193" t="s">
        <v>440</v>
      </c>
      <c r="H63" s="194">
        <f>IF(LEN(I63)&gt;1,LEN(I63),0)</f>
        <v>0</v>
      </c>
      <c r="I63" s="193" t="str">
        <f>IF(Tablica_A!C49&lt;&gt;"",Tablica_A!C49,"-")</f>
        <v>-</v>
      </c>
    </row>
    <row r="64" spans="1:9" ht="12.75" hidden="1">
      <c r="A64" s="194">
        <f>Fintab!F89</f>
        <v>63</v>
      </c>
      <c r="B64" s="194">
        <f>Fintab!G89</f>
        <v>63159</v>
      </c>
      <c r="C64" s="194">
        <f>Fintab!I89</f>
        <v>28938</v>
      </c>
      <c r="D64" s="194">
        <v>0</v>
      </c>
      <c r="E64" s="194">
        <v>0</v>
      </c>
      <c r="F64" s="174">
        <f t="shared" si="3"/>
        <v>76252.05</v>
      </c>
      <c r="G64" s="193" t="s">
        <v>437</v>
      </c>
      <c r="H64" s="194">
        <f>Tablica_A!I49</f>
        <v>0</v>
      </c>
      <c r="I64" s="193" t="s">
        <v>391</v>
      </c>
    </row>
    <row r="65" spans="1:9" ht="12.75" hidden="1">
      <c r="A65" s="194">
        <f>Fintab!F90</f>
        <v>64</v>
      </c>
      <c r="B65" s="194">
        <f>Fintab!G90</f>
        <v>-1131</v>
      </c>
      <c r="C65" s="194">
        <f>Fintab!I90</f>
        <v>67710</v>
      </c>
      <c r="D65" s="194">
        <v>0</v>
      </c>
      <c r="E65" s="194">
        <v>0</v>
      </c>
      <c r="F65" s="174">
        <f t="shared" si="3"/>
        <v>85944.96</v>
      </c>
      <c r="G65" s="193" t="s">
        <v>438</v>
      </c>
      <c r="H65" s="194">
        <f>IF(LEN(I65)&gt;1,LEN(I65),0)</f>
        <v>0</v>
      </c>
      <c r="I65" s="193" t="str">
        <f>IF(Tablica_A!K49&lt;&gt;"",Tablica_A!K49,"-")</f>
        <v>-</v>
      </c>
    </row>
    <row r="66" spans="1:9" ht="12.75" hidden="1">
      <c r="A66" s="194">
        <f>Fintab!F91</f>
        <v>65</v>
      </c>
      <c r="B66" s="194">
        <f>Fintab!G91</f>
        <v>24619</v>
      </c>
      <c r="C66" s="194">
        <f>Fintab!I91</f>
        <v>8937</v>
      </c>
      <c r="D66" s="194">
        <v>0</v>
      </c>
      <c r="E66" s="194">
        <v>0</v>
      </c>
      <c r="F66" s="174">
        <f t="shared" si="3"/>
        <v>27620.45</v>
      </c>
      <c r="G66" s="193" t="s">
        <v>439</v>
      </c>
      <c r="H66" s="194">
        <f>IF(LEN(I66)&gt;1,LEN(I66),0)</f>
        <v>0</v>
      </c>
      <c r="I66" s="193" t="str">
        <f>IF(Tablica_A!O49&lt;&gt;"",Tablica_A!O49,"-")</f>
        <v>-</v>
      </c>
    </row>
    <row r="67" spans="1:9" ht="12.75" hidden="1">
      <c r="A67" s="194">
        <f>Fintab!F92</f>
        <v>66</v>
      </c>
      <c r="B67" s="194">
        <f>Fintab!G92</f>
        <v>43</v>
      </c>
      <c r="C67" s="194">
        <f>Fintab!I92</f>
        <v>-377</v>
      </c>
      <c r="D67" s="194">
        <v>0</v>
      </c>
      <c r="E67" s="194">
        <v>0</v>
      </c>
      <c r="F67" s="174">
        <f t="shared" si="3"/>
        <v>-469.26000000000005</v>
      </c>
      <c r="G67" s="193" t="s">
        <v>444</v>
      </c>
      <c r="H67" s="194">
        <f>IF(LEN(I67)&gt;1,LEN(I67),0)</f>
        <v>33</v>
      </c>
      <c r="I67" s="193" t="str">
        <f>IF(Tablica_A!C51&lt;&gt;"",Tablica_A!C51,"-")</f>
        <v>MORENO MARSON, SANDA FUČEK-ŠANJIĆ</v>
      </c>
    </row>
    <row r="68" spans="1:9" ht="12.75" hidden="1">
      <c r="A68" s="194">
        <f>Fintab!F93</f>
        <v>67</v>
      </c>
      <c r="B68" s="194">
        <f>Fintab!G93</f>
        <v>-58702</v>
      </c>
      <c r="C68" s="194">
        <f>Fintab!I93</f>
        <v>-19932</v>
      </c>
      <c r="D68" s="194">
        <v>0</v>
      </c>
      <c r="E68" s="194">
        <v>0</v>
      </c>
      <c r="F68" s="174">
        <f t="shared" si="3"/>
        <v>-66039.22</v>
      </c>
      <c r="G68" s="193" t="s">
        <v>441</v>
      </c>
      <c r="H68" s="194">
        <f>Tablica_A!I51</f>
        <v>23174</v>
      </c>
      <c r="I68" s="193" t="s">
        <v>391</v>
      </c>
    </row>
    <row r="69" spans="1:9" ht="12.75" hidden="1">
      <c r="A69" s="194">
        <f>Fintab!F94</f>
        <v>68</v>
      </c>
      <c r="B69" s="194">
        <f>Fintab!G94</f>
        <v>-29930</v>
      </c>
      <c r="C69" s="194">
        <f>Fintab!I94</f>
        <v>0</v>
      </c>
      <c r="D69" s="194">
        <v>0</v>
      </c>
      <c r="E69" s="194">
        <v>0</v>
      </c>
      <c r="F69" s="174">
        <f t="shared" si="3"/>
        <v>-20352.4</v>
      </c>
      <c r="G69" s="193" t="s">
        <v>442</v>
      </c>
      <c r="H69" s="194">
        <f>IF(LEN(I69)&gt;1,LEN(I69),0)</f>
        <v>10</v>
      </c>
      <c r="I69" s="193" t="str">
        <f>IF(Tablica_A!K51&lt;&gt;"",Tablica_A!K51,"-")</f>
        <v>KOPRIVNICA</v>
      </c>
    </row>
    <row r="70" spans="1:9" ht="12.75" hidden="1">
      <c r="A70" s="194">
        <f>Fintab!F95</f>
        <v>69</v>
      </c>
      <c r="B70" s="194">
        <f>Fintab!G95</f>
        <v>-24398</v>
      </c>
      <c r="C70" s="194">
        <f>Fintab!I95</f>
        <v>-1530</v>
      </c>
      <c r="D70" s="194">
        <v>0</v>
      </c>
      <c r="E70" s="194">
        <v>0</v>
      </c>
      <c r="F70" s="174">
        <f t="shared" si="3"/>
        <v>-18946.019999999997</v>
      </c>
      <c r="G70" s="193" t="s">
        <v>443</v>
      </c>
      <c r="H70" s="194">
        <f>IF(LEN(I70)&gt;1,LEN(I70),0)</f>
        <v>12</v>
      </c>
      <c r="I70" s="193" t="str">
        <f>IF(Tablica_A!O51&lt;&gt;"",Tablica_A!O51,"-")</f>
        <v>TARAŠČICE 18</v>
      </c>
    </row>
    <row r="71" spans="1:9" ht="12.75" hidden="1">
      <c r="A71" s="194">
        <f>Fintab!F96</f>
        <v>70</v>
      </c>
      <c r="B71" s="194">
        <f>Fintab!G96</f>
        <v>283</v>
      </c>
      <c r="C71" s="194">
        <f>Fintab!I96</f>
        <v>-1596</v>
      </c>
      <c r="D71" s="194">
        <v>0</v>
      </c>
      <c r="E71" s="194">
        <v>0</v>
      </c>
      <c r="F71" s="174">
        <f t="shared" si="3"/>
        <v>-2036.3</v>
      </c>
      <c r="G71" s="196" t="s">
        <v>494</v>
      </c>
      <c r="H71" s="194">
        <f>IF(LEN(I71)&gt;1,LEN(I71),0)</f>
        <v>16</v>
      </c>
      <c r="I71" s="193" t="str">
        <f>IF(Tablica_A!C54&lt;&gt;"",Tablica_A!C54,"-")</f>
        <v>MILJAN TODOROVIĆ</v>
      </c>
    </row>
    <row r="72" spans="1:9" ht="12.75" hidden="1">
      <c r="A72" s="194">
        <f>Fintab!F97</f>
        <v>71</v>
      </c>
      <c r="B72" s="194">
        <f>Fintab!G97</f>
        <v>-4681</v>
      </c>
      <c r="C72" s="194">
        <f>Fintab!I97</f>
        <v>-16890</v>
      </c>
      <c r="D72" s="194">
        <v>0</v>
      </c>
      <c r="E72" s="194">
        <v>0</v>
      </c>
      <c r="F72" s="174">
        <f t="shared" si="3"/>
        <v>-27307.309999999998</v>
      </c>
      <c r="G72" s="196" t="s">
        <v>445</v>
      </c>
      <c r="H72" s="194">
        <f>Tablica_A!I54</f>
        <v>23519</v>
      </c>
      <c r="I72" s="193" t="s">
        <v>391</v>
      </c>
    </row>
    <row r="73" spans="1:9" ht="12.75" hidden="1">
      <c r="A73" s="194">
        <f>Fintab!F98</f>
        <v>72</v>
      </c>
      <c r="B73" s="194">
        <f>Fintab!G98</f>
        <v>24</v>
      </c>
      <c r="C73" s="194">
        <f>Fintab!I98</f>
        <v>84</v>
      </c>
      <c r="D73" s="194">
        <v>0</v>
      </c>
      <c r="E73" s="194">
        <v>0</v>
      </c>
      <c r="F73" s="174">
        <f t="shared" si="3"/>
        <v>138.24</v>
      </c>
      <c r="G73" s="196" t="s">
        <v>446</v>
      </c>
      <c r="H73" s="194">
        <f>IF(LEN(I73)&gt;1,LEN(I73),0)</f>
        <v>6</v>
      </c>
      <c r="I73" s="193" t="str">
        <f>IF(Tablica_A!K54&lt;&gt;"",Tablica_A!K54,"-")</f>
        <v>MILANO</v>
      </c>
    </row>
    <row r="74" spans="1:9" ht="12.75" hidden="1">
      <c r="A74" s="194">
        <f>Fintab!F99</f>
        <v>73</v>
      </c>
      <c r="B74" s="194">
        <f>Fintab!G99</f>
        <v>0</v>
      </c>
      <c r="C74" s="194">
        <f>Fintab!I99</f>
        <v>0</v>
      </c>
      <c r="D74" s="194">
        <v>0</v>
      </c>
      <c r="E74" s="194">
        <v>0</v>
      </c>
      <c r="F74" s="174">
        <f t="shared" si="3"/>
        <v>0</v>
      </c>
      <c r="G74" s="196" t="s">
        <v>447</v>
      </c>
      <c r="H74" s="194">
        <f>IF(LEN(I74)&gt;1,LEN(I74),0)</f>
        <v>25</v>
      </c>
      <c r="I74" s="193" t="str">
        <f>IF(Tablica_A!O54&lt;&gt;"",Tablica_A!O54,"-")</f>
        <v>VIA VISCONTI DI MODRONE 1</v>
      </c>
    </row>
    <row r="75" spans="1:9" ht="12.75" hidden="1">
      <c r="A75" s="194">
        <f>Fintab!F100</f>
        <v>74</v>
      </c>
      <c r="B75" s="194">
        <f>Fintab!G100</f>
        <v>72002</v>
      </c>
      <c r="C75" s="194">
        <f>Fintab!I100</f>
        <v>9247</v>
      </c>
      <c r="D75" s="194">
        <v>0</v>
      </c>
      <c r="E75" s="194">
        <v>0</v>
      </c>
      <c r="F75" s="174">
        <f t="shared" si="3"/>
        <v>66967.04</v>
      </c>
      <c r="G75" s="196" t="s">
        <v>448</v>
      </c>
      <c r="H75" s="194">
        <f>IF(LEN(I75)&gt;1,LEN(I75),0)</f>
        <v>13</v>
      </c>
      <c r="I75" s="193" t="str">
        <f>IF(Tablica_A!C56&lt;&gt;"",Tablica_A!C56,"-")</f>
        <v>ĐURO PREDOVIĆ</v>
      </c>
    </row>
    <row r="76" spans="1:9" ht="12.75" hidden="1">
      <c r="A76" s="194">
        <f>Fintab!F101</f>
        <v>75</v>
      </c>
      <c r="B76" s="194">
        <f>Fintab!G101</f>
        <v>-280</v>
      </c>
      <c r="C76" s="194">
        <f>Fintab!I101</f>
        <v>0</v>
      </c>
      <c r="D76" s="194">
        <v>0</v>
      </c>
      <c r="E76" s="194">
        <v>0</v>
      </c>
      <c r="F76" s="174">
        <f t="shared" si="3"/>
        <v>-210</v>
      </c>
      <c r="G76" s="196" t="s">
        <v>449</v>
      </c>
      <c r="H76" s="194">
        <f>Tablica_A!I56</f>
        <v>10864</v>
      </c>
      <c r="I76" s="193" t="s">
        <v>391</v>
      </c>
    </row>
    <row r="77" spans="1:9" ht="12.75" hidden="1">
      <c r="A77" s="194">
        <f>Fintab!F102</f>
        <v>76</v>
      </c>
      <c r="B77" s="194">
        <f>Fintab!G102</f>
        <v>0</v>
      </c>
      <c r="C77" s="194">
        <f>Fintab!I102</f>
        <v>0</v>
      </c>
      <c r="D77" s="194">
        <v>0</v>
      </c>
      <c r="E77" s="194">
        <v>0</v>
      </c>
      <c r="F77" s="174">
        <f t="shared" si="3"/>
        <v>0</v>
      </c>
      <c r="G77" s="196" t="s">
        <v>450</v>
      </c>
      <c r="H77" s="194">
        <f>IF(LEN(I77)&gt;1,LEN(I77),0)</f>
        <v>7</v>
      </c>
      <c r="I77" s="193" t="str">
        <f>IF(Tablica_A!K56&lt;&gt;"",Tablica_A!K56,"-")</f>
        <v>TRIESTE</v>
      </c>
    </row>
    <row r="78" spans="1:9" ht="12.75" hidden="1">
      <c r="A78" s="194">
        <f>Fintab!F103</f>
        <v>77</v>
      </c>
      <c r="B78" s="194">
        <f>Fintab!G103</f>
        <v>75674</v>
      </c>
      <c r="C78" s="194">
        <f>Fintab!I103</f>
        <v>10968</v>
      </c>
      <c r="D78" s="194">
        <v>0</v>
      </c>
      <c r="E78" s="194">
        <v>0</v>
      </c>
      <c r="F78" s="174">
        <f t="shared" si="3"/>
        <v>75159.7</v>
      </c>
      <c r="G78" s="196" t="s">
        <v>451</v>
      </c>
      <c r="H78" s="194">
        <f>IF(LEN(I78)&gt;1,LEN(I78),0)</f>
        <v>14</v>
      </c>
      <c r="I78" s="193" t="str">
        <f>IF(Tablica_A!O56&lt;&gt;"",Tablica_A!O56,"-")</f>
        <v>VIA BONAFATA 9</v>
      </c>
    </row>
    <row r="79" spans="1:9" ht="12.75" hidden="1">
      <c r="A79" s="194">
        <f>Fintab!F104</f>
        <v>78</v>
      </c>
      <c r="B79" s="194">
        <f>Fintab!G104</f>
        <v>-3392</v>
      </c>
      <c r="C79" s="194">
        <f>Fintab!I104</f>
        <v>-1721</v>
      </c>
      <c r="D79" s="194">
        <v>0</v>
      </c>
      <c r="E79" s="194">
        <v>0</v>
      </c>
      <c r="F79" s="174">
        <f t="shared" si="3"/>
        <v>-5330.52</v>
      </c>
      <c r="G79" s="196" t="s">
        <v>452</v>
      </c>
      <c r="H79" s="194">
        <f>IF(LEN(I79)&gt;1,LEN(I79),0)</f>
        <v>20</v>
      </c>
      <c r="I79" s="193" t="str">
        <f>IF(Tablica_A!C58&lt;&gt;"",Tablica_A!C58,"-")</f>
        <v>SIGILFREDO MONTINARI</v>
      </c>
    </row>
    <row r="80" spans="1:9" ht="12.75" hidden="1">
      <c r="A80" s="194">
        <f>Fintab!F105</f>
        <v>79</v>
      </c>
      <c r="B80" s="194">
        <f>Fintab!G105</f>
        <v>7177</v>
      </c>
      <c r="C80" s="194">
        <f>Fintab!I105</f>
        <v>14697</v>
      </c>
      <c r="D80" s="194">
        <v>0</v>
      </c>
      <c r="E80" s="194">
        <v>0</v>
      </c>
      <c r="F80" s="174">
        <f t="shared" si="3"/>
        <v>28891.09</v>
      </c>
      <c r="G80" s="196" t="s">
        <v>453</v>
      </c>
      <c r="H80" s="194">
        <f>Tablica_A!I58</f>
        <v>24254</v>
      </c>
      <c r="I80" s="193" t="s">
        <v>391</v>
      </c>
    </row>
    <row r="81" spans="1:9" ht="12.75" hidden="1">
      <c r="A81" s="194">
        <f>Fintab!F106</f>
        <v>80</v>
      </c>
      <c r="B81" s="194">
        <f>Fintab!G106</f>
        <v>38668</v>
      </c>
      <c r="C81" s="194">
        <f>Fintab!I106</f>
        <v>45326</v>
      </c>
      <c r="D81" s="194">
        <v>0</v>
      </c>
      <c r="E81" s="194">
        <v>0</v>
      </c>
      <c r="F81" s="174">
        <f t="shared" si="3"/>
        <v>103456</v>
      </c>
      <c r="G81" s="196" t="s">
        <v>454</v>
      </c>
      <c r="H81" s="194">
        <f>IF(LEN(I81)&gt;1,LEN(I81),0)</f>
        <v>5</v>
      </c>
      <c r="I81" s="193" t="str">
        <f>IF(Tablica_A!K58&lt;&gt;"",Tablica_A!K58,"-")</f>
        <v>LECCE</v>
      </c>
    </row>
    <row r="82" spans="1:9" ht="12.75" hidden="1">
      <c r="A82" s="194">
        <f>Fintab!F107</f>
        <v>81</v>
      </c>
      <c r="B82" s="194">
        <f>Fintab!G107</f>
        <v>45845</v>
      </c>
      <c r="C82" s="194">
        <f>Fintab!I107</f>
        <v>60023</v>
      </c>
      <c r="D82" s="194">
        <v>0</v>
      </c>
      <c r="E82" s="194">
        <v>0</v>
      </c>
      <c r="F82" s="174">
        <f t="shared" si="3"/>
        <v>134371.71000000002</v>
      </c>
      <c r="G82" s="196" t="s">
        <v>455</v>
      </c>
      <c r="H82" s="194">
        <f>IF(LEN(I82)&gt;1,LEN(I82),0)</f>
        <v>15</v>
      </c>
      <c r="I82" s="193" t="str">
        <f>IF(Tablica_A!O58&lt;&gt;"",Tablica_A!O58,"-")</f>
        <v>VIA P. CECERE 3</v>
      </c>
    </row>
    <row r="83" spans="1:9" ht="12.75" hidden="1">
      <c r="A83" s="194">
        <f>Fintab!F116</f>
        <v>82</v>
      </c>
      <c r="B83" s="194">
        <f>Fintab!G116</f>
        <v>168305</v>
      </c>
      <c r="C83" s="194">
        <f>Fintab!H116</f>
        <v>0</v>
      </c>
      <c r="D83" s="194">
        <f>Fintab!I116</f>
        <v>0</v>
      </c>
      <c r="E83" s="194">
        <f>Fintab!J116</f>
        <v>168305</v>
      </c>
      <c r="F83" s="174">
        <f t="shared" si="3"/>
        <v>690050.5</v>
      </c>
      <c r="G83" s="196" t="s">
        <v>456</v>
      </c>
      <c r="H83" s="194">
        <f>IF(LEN(I83)&gt;1,LEN(I83),0)</f>
        <v>15</v>
      </c>
      <c r="I83" s="193" t="str">
        <f>IF(Tablica_A!C60&lt;&gt;"",Tablica_A!C60,"-")</f>
        <v>DARIO MONTINARI</v>
      </c>
    </row>
    <row r="84" spans="1:9" ht="12.75" hidden="1">
      <c r="A84" s="194">
        <f>Fintab!F117</f>
        <v>83</v>
      </c>
      <c r="B84" s="194">
        <f>Fintab!G117</f>
        <v>3015</v>
      </c>
      <c r="C84" s="194">
        <f>Fintab!H117</f>
        <v>0</v>
      </c>
      <c r="D84" s="194">
        <f>Fintab!I117</f>
        <v>0</v>
      </c>
      <c r="E84" s="194">
        <f>Fintab!J117</f>
        <v>3015</v>
      </c>
      <c r="F84" s="174">
        <f aca="true" t="shared" si="4" ref="F84:F99">A84/100*(B84+C84*2+D84*3+E84*4)</f>
        <v>12512.25</v>
      </c>
      <c r="G84" s="196" t="s">
        <v>457</v>
      </c>
      <c r="H84" s="194">
        <f>Tablica_A!I60</f>
        <v>25108</v>
      </c>
      <c r="I84" s="193" t="s">
        <v>391</v>
      </c>
    </row>
    <row r="85" spans="1:9" ht="12.75" hidden="1">
      <c r="A85" s="194">
        <f>Fintab!F118</f>
        <v>84</v>
      </c>
      <c r="B85" s="194">
        <f>Fintab!G118</f>
        <v>42994</v>
      </c>
      <c r="C85" s="194">
        <f>Fintab!H118</f>
        <v>17715</v>
      </c>
      <c r="D85" s="194">
        <f>Fintab!I118</f>
        <v>454</v>
      </c>
      <c r="E85" s="194">
        <f>Fintab!J118</f>
        <v>60255</v>
      </c>
      <c r="F85" s="174">
        <f t="shared" si="4"/>
        <v>269477.04</v>
      </c>
      <c r="G85" s="196" t="s">
        <v>458</v>
      </c>
      <c r="H85" s="194">
        <f>IF(LEN(I85)&gt;1,LEN(I85),0)</f>
        <v>5</v>
      </c>
      <c r="I85" s="193" t="str">
        <f>IF(Tablica_A!K60&lt;&gt;"",Tablica_A!K60,"-")</f>
        <v>LECCE</v>
      </c>
    </row>
    <row r="86" spans="1:9" ht="12.75" hidden="1">
      <c r="A86" s="194">
        <f>Fintab!F119</f>
        <v>85</v>
      </c>
      <c r="B86" s="194">
        <f>Fintab!G119</f>
        <v>-4850</v>
      </c>
      <c r="C86" s="194">
        <f>Fintab!H119</f>
        <v>-9401</v>
      </c>
      <c r="D86" s="194">
        <f>Fintab!I119</f>
        <v>-9059</v>
      </c>
      <c r="E86" s="194">
        <f>Fintab!J119</f>
        <v>-5192</v>
      </c>
      <c r="F86" s="174">
        <f t="shared" si="4"/>
        <v>-60857.45</v>
      </c>
      <c r="G86" s="196" t="s">
        <v>459</v>
      </c>
      <c r="H86" s="194">
        <f>IF(LEN(I86)&gt;1,LEN(I86),0)</f>
        <v>16</v>
      </c>
      <c r="I86" s="193" t="str">
        <f>IF(Tablica_A!O60&lt;&gt;"",Tablica_A!O60,"-")</f>
        <v>VIA LIBERTINI 10</v>
      </c>
    </row>
    <row r="87" spans="1:9" ht="12.75" hidden="1">
      <c r="A87" s="194">
        <f>Fintab!F120</f>
        <v>86</v>
      </c>
      <c r="B87" s="194">
        <f>Fintab!G120</f>
        <v>18565</v>
      </c>
      <c r="C87" s="194">
        <f>Fintab!H120</f>
        <v>0</v>
      </c>
      <c r="D87" s="194">
        <f>Fintab!I120</f>
        <v>18565</v>
      </c>
      <c r="E87" s="194">
        <f>Fintab!J120</f>
        <v>0</v>
      </c>
      <c r="F87" s="174">
        <f t="shared" si="4"/>
        <v>63863.6</v>
      </c>
      <c r="G87" s="196" t="s">
        <v>460</v>
      </c>
      <c r="H87" s="194">
        <f>IF(LEN(I87)&gt;1,LEN(I87),0)</f>
        <v>14</v>
      </c>
      <c r="I87" s="193" t="str">
        <f>IF(Tablica_A!C62&lt;&gt;"",Tablica_A!C62,"-")</f>
        <v>DOLLY PREDOVIĆ</v>
      </c>
    </row>
    <row r="88" spans="1:9" ht="12.75" hidden="1">
      <c r="A88" s="194">
        <f>Fintab!F121</f>
        <v>87</v>
      </c>
      <c r="B88" s="194">
        <f>Fintab!G121</f>
        <v>0</v>
      </c>
      <c r="C88" s="194">
        <f>Fintab!H121</f>
        <v>13493</v>
      </c>
      <c r="D88" s="194">
        <f>Fintab!I121</f>
        <v>0</v>
      </c>
      <c r="E88" s="194">
        <f>Fintab!J121</f>
        <v>13493</v>
      </c>
      <c r="F88" s="174">
        <f t="shared" si="4"/>
        <v>70433.46</v>
      </c>
      <c r="G88" s="196" t="s">
        <v>461</v>
      </c>
      <c r="H88" s="194">
        <f>Tablica_A!I62</f>
        <v>24278</v>
      </c>
      <c r="I88" s="193" t="s">
        <v>391</v>
      </c>
    </row>
    <row r="89" spans="1:9" ht="12.75" hidden="1">
      <c r="A89" s="194">
        <f>Fintab!F122</f>
        <v>88</v>
      </c>
      <c r="B89" s="194">
        <f>Fintab!G122</f>
        <v>0</v>
      </c>
      <c r="C89" s="194">
        <f>Fintab!H122</f>
        <v>0</v>
      </c>
      <c r="D89" s="194">
        <f>Fintab!I122</f>
        <v>0</v>
      </c>
      <c r="E89" s="194">
        <f>Fintab!J122</f>
        <v>0</v>
      </c>
      <c r="F89" s="174">
        <f t="shared" si="4"/>
        <v>0</v>
      </c>
      <c r="G89" s="196" t="s">
        <v>462</v>
      </c>
      <c r="H89" s="194">
        <f>IF(LEN(I89)&gt;1,LEN(I89),0)</f>
        <v>7</v>
      </c>
      <c r="I89" s="193" t="str">
        <f>IF(Tablica_A!K62&lt;&gt;"",Tablica_A!K62,"-")</f>
        <v>TRIESTE</v>
      </c>
    </row>
    <row r="90" spans="1:9" ht="12.75" hidden="1">
      <c r="A90" s="194">
        <f>Fintab!F123</f>
        <v>89</v>
      </c>
      <c r="B90" s="194">
        <f>Fintab!G123</f>
        <v>335</v>
      </c>
      <c r="C90" s="194">
        <f>Fintab!H123</f>
        <v>34</v>
      </c>
      <c r="D90" s="194">
        <f>Fintab!I123</f>
        <v>109</v>
      </c>
      <c r="E90" s="194">
        <f>Fintab!J123</f>
        <v>260</v>
      </c>
      <c r="F90" s="174">
        <f t="shared" si="4"/>
        <v>1575.3</v>
      </c>
      <c r="G90" s="196" t="s">
        <v>463</v>
      </c>
      <c r="H90" s="194">
        <f>IF(LEN(I90)&gt;1,LEN(I90),0)</f>
        <v>38</v>
      </c>
      <c r="I90" s="193" t="str">
        <f>IF(Tablica_A!O62&lt;&gt;"",Tablica_A!O62,"-")</f>
        <v>VIA SALITA ALLA MADONNA DI GRETTA 2/05</v>
      </c>
    </row>
    <row r="91" spans="1:9" ht="12.75" hidden="1">
      <c r="A91" s="194">
        <f>Fintab!F124</f>
        <v>90</v>
      </c>
      <c r="B91" s="194">
        <f>Fintab!G124</f>
        <v>0</v>
      </c>
      <c r="C91" s="194">
        <f>Fintab!H124</f>
        <v>0</v>
      </c>
      <c r="D91" s="194">
        <f>Fintab!I124</f>
        <v>0</v>
      </c>
      <c r="E91" s="194">
        <f>Fintab!J124</f>
        <v>0</v>
      </c>
      <c r="F91" s="174">
        <f t="shared" si="4"/>
        <v>0</v>
      </c>
      <c r="G91" s="196" t="s">
        <v>464</v>
      </c>
      <c r="H91" s="194">
        <f>IF(LEN(I91)&gt;1,LEN(I91),0)</f>
        <v>17</v>
      </c>
      <c r="I91" s="193" t="str">
        <f>IF(Tablica_A!C64&lt;&gt;"",Tablica_A!C64,"-")</f>
        <v>FILIPPO DISERTORI</v>
      </c>
    </row>
    <row r="92" spans="1:9" ht="12.75" hidden="1">
      <c r="A92" s="194">
        <f>Fintab!F125</f>
        <v>91</v>
      </c>
      <c r="B92" s="194">
        <f>Fintab!G125</f>
        <v>335</v>
      </c>
      <c r="C92" s="194">
        <f>Fintab!H125</f>
        <v>34</v>
      </c>
      <c r="D92" s="194">
        <f>Fintab!I125</f>
        <v>109</v>
      </c>
      <c r="E92" s="194">
        <f>Fintab!J125</f>
        <v>260</v>
      </c>
      <c r="F92" s="174">
        <f t="shared" si="4"/>
        <v>1610.7</v>
      </c>
      <c r="G92" s="196" t="s">
        <v>465</v>
      </c>
      <c r="H92" s="194">
        <f>Tablica_A!I64</f>
        <v>19521</v>
      </c>
      <c r="I92" s="193" t="s">
        <v>391</v>
      </c>
    </row>
    <row r="93" spans="1:9" ht="12.75" hidden="1">
      <c r="A93" s="194">
        <f>Fintab!F126</f>
        <v>92</v>
      </c>
      <c r="B93" s="194">
        <f>Fintab!G126</f>
        <v>0</v>
      </c>
      <c r="C93" s="194">
        <f>Fintab!H126</f>
        <v>0</v>
      </c>
      <c r="D93" s="194">
        <f>Fintab!I126</f>
        <v>0</v>
      </c>
      <c r="E93" s="194">
        <f>Fintab!J126</f>
        <v>0</v>
      </c>
      <c r="F93" s="174">
        <f t="shared" si="4"/>
        <v>0</v>
      </c>
      <c r="G93" s="196" t="s">
        <v>466</v>
      </c>
      <c r="H93" s="194">
        <f>IF(LEN(I93)&gt;1,LEN(I93),0)</f>
        <v>6</v>
      </c>
      <c r="I93" s="193" t="str">
        <f>IF(Tablica_A!K64&lt;&gt;"",Tablica_A!K64,"-")</f>
        <v>MILANO</v>
      </c>
    </row>
    <row r="94" spans="1:9" ht="12.75" hidden="1">
      <c r="A94" s="194">
        <f>Fintab!F127</f>
        <v>93</v>
      </c>
      <c r="B94" s="194">
        <f>Fintab!G127</f>
        <v>0</v>
      </c>
      <c r="C94" s="194">
        <f>Fintab!H127</f>
        <v>0</v>
      </c>
      <c r="D94" s="194">
        <f>Fintab!I127</f>
        <v>0</v>
      </c>
      <c r="E94" s="194">
        <f>Fintab!J127</f>
        <v>0</v>
      </c>
      <c r="F94" s="174">
        <f t="shared" si="4"/>
        <v>0</v>
      </c>
      <c r="G94" s="196" t="s">
        <v>467</v>
      </c>
      <c r="H94" s="194">
        <f>IF(LEN(I94)&gt;1,LEN(I94),0)</f>
        <v>24</v>
      </c>
      <c r="I94" s="193" t="str">
        <f>IF(Tablica_A!O64&lt;&gt;"",Tablica_A!O64,"-")</f>
        <v>PIAZZALE GIULIO CESARE 9</v>
      </c>
    </row>
    <row r="95" spans="1:9" ht="12.75" hidden="1">
      <c r="A95" s="194">
        <f>Fintab!F128</f>
        <v>94</v>
      </c>
      <c r="B95" s="194">
        <f>Fintab!G128</f>
        <v>0</v>
      </c>
      <c r="C95" s="194">
        <f>Fintab!H128</f>
        <v>0</v>
      </c>
      <c r="D95" s="194">
        <f>Fintab!I128</f>
        <v>0</v>
      </c>
      <c r="E95" s="194">
        <f>Fintab!J128</f>
        <v>0</v>
      </c>
      <c r="F95" s="174">
        <f t="shared" si="4"/>
        <v>0</v>
      </c>
      <c r="G95" s="196" t="s">
        <v>468</v>
      </c>
      <c r="H95" s="194">
        <f>IF(LEN(I95)&gt;1,LEN(I95),0)</f>
        <v>19</v>
      </c>
      <c r="I95" s="193" t="str">
        <f>IF(Tablica_A!C66&lt;&gt;"",Tablica_A!C66,"-")</f>
        <v>MAURIZIO DALLOCCHIO</v>
      </c>
    </row>
    <row r="96" spans="1:9" ht="12.75" hidden="1">
      <c r="A96" s="194">
        <f>Fintab!F129</f>
        <v>95</v>
      </c>
      <c r="B96" s="194">
        <f>Fintab!G129</f>
        <v>0</v>
      </c>
      <c r="C96" s="194">
        <f>Fintab!H129</f>
        <v>0</v>
      </c>
      <c r="D96" s="194">
        <f>Fintab!I129</f>
        <v>0</v>
      </c>
      <c r="E96" s="194">
        <f>Fintab!J129</f>
        <v>0</v>
      </c>
      <c r="F96" s="174">
        <f t="shared" si="4"/>
        <v>0</v>
      </c>
      <c r="G96" s="196" t="s">
        <v>469</v>
      </c>
      <c r="H96" s="194">
        <f>Tablica_A!I66</f>
        <v>21287</v>
      </c>
      <c r="I96" s="193" t="s">
        <v>391</v>
      </c>
    </row>
    <row r="97" spans="1:9" ht="12.75" hidden="1">
      <c r="A97" s="194">
        <f>Fintab!F130</f>
        <v>96</v>
      </c>
      <c r="B97" s="194">
        <f>Fintab!G130</f>
        <v>228364</v>
      </c>
      <c r="C97" s="194">
        <f>Fintab!H130</f>
        <v>21841</v>
      </c>
      <c r="D97" s="194">
        <f>Fintab!I130</f>
        <v>10069</v>
      </c>
      <c r="E97" s="194">
        <f>Fintab!J130</f>
        <v>240136</v>
      </c>
      <c r="F97" s="174">
        <f t="shared" si="4"/>
        <v>1212285.1199999999</v>
      </c>
      <c r="G97" s="196" t="s">
        <v>470</v>
      </c>
      <c r="H97" s="194">
        <f>IF(LEN(I97)&gt;1,LEN(I97),0)</f>
        <v>6</v>
      </c>
      <c r="I97" s="193" t="str">
        <f>IF(Tablica_A!K66&lt;&gt;"",Tablica_A!K66,"-")</f>
        <v>MILANO</v>
      </c>
    </row>
    <row r="98" spans="1:9" ht="12.75" hidden="1">
      <c r="A98" s="194">
        <f>Fintab!F133</f>
        <v>97</v>
      </c>
      <c r="B98" s="194">
        <f>Fintab!G133</f>
        <v>141542</v>
      </c>
      <c r="C98" s="194">
        <f>Fintab!I133</f>
        <v>221499</v>
      </c>
      <c r="D98" s="194">
        <v>0</v>
      </c>
      <c r="E98" s="194">
        <v>0</v>
      </c>
      <c r="F98" s="174">
        <f t="shared" si="4"/>
        <v>567003.7999999999</v>
      </c>
      <c r="G98" s="196" t="s">
        <v>471</v>
      </c>
      <c r="H98" s="194">
        <f>IF(LEN(I98)&gt;1,LEN(I98),0)</f>
        <v>20</v>
      </c>
      <c r="I98" s="193" t="str">
        <f>IF(Tablica_A!O66&lt;&gt;"",Tablica_A!O66,"-")</f>
        <v>PIAZZA S. SEPOLORO 1</v>
      </c>
    </row>
    <row r="99" spans="1:9" ht="12.75" hidden="1">
      <c r="A99" s="194">
        <f>Fintab!F134</f>
        <v>98</v>
      </c>
      <c r="B99" s="194">
        <f>Fintab!G134</f>
        <v>10.01</v>
      </c>
      <c r="C99" s="194">
        <f>Fintab!I134</f>
        <v>10.96</v>
      </c>
      <c r="D99" s="194">
        <v>0</v>
      </c>
      <c r="E99" s="194">
        <v>0</v>
      </c>
      <c r="F99" s="174">
        <f t="shared" si="4"/>
        <v>31.2914</v>
      </c>
      <c r="G99" s="196" t="s">
        <v>472</v>
      </c>
      <c r="H99" s="194">
        <f>IF(LEN(I99)&gt;1,LEN(I99),0)</f>
        <v>0</v>
      </c>
      <c r="I99" s="193" t="str">
        <f>IF(Tablica_A!C68&lt;&gt;"",Tablica_A!C68,"-")</f>
        <v>-</v>
      </c>
    </row>
    <row r="100" spans="1:9" ht="12.75" hidden="1">
      <c r="A100" s="194">
        <v>0</v>
      </c>
      <c r="B100" s="194">
        <v>0</v>
      </c>
      <c r="C100" s="194">
        <v>0</v>
      </c>
      <c r="D100" s="194">
        <v>0</v>
      </c>
      <c r="E100" s="194">
        <v>0</v>
      </c>
      <c r="F100" s="174">
        <v>0</v>
      </c>
      <c r="G100" s="196" t="s">
        <v>473</v>
      </c>
      <c r="H100" s="194">
        <f>Tablica_A!I68</f>
        <v>0</v>
      </c>
      <c r="I100" s="193" t="s">
        <v>391</v>
      </c>
    </row>
    <row r="101" spans="1:9" ht="12.75" hidden="1">
      <c r="A101" s="194">
        <v>0</v>
      </c>
      <c r="B101" s="194">
        <v>0</v>
      </c>
      <c r="C101" s="194">
        <v>0</v>
      </c>
      <c r="D101" s="194">
        <v>0</v>
      </c>
      <c r="E101" s="194">
        <v>0</v>
      </c>
      <c r="F101" s="174">
        <v>0</v>
      </c>
      <c r="G101" s="196" t="s">
        <v>474</v>
      </c>
      <c r="H101" s="194">
        <f>IF(LEN(I101)&gt;1,LEN(I101),0)</f>
        <v>0</v>
      </c>
      <c r="I101" s="193" t="str">
        <f>IF(Tablica_A!K68&lt;&gt;"",Tablica_A!K68,"-")</f>
        <v>-</v>
      </c>
    </row>
    <row r="102" spans="1:9" ht="12.75" hidden="1">
      <c r="A102" s="194">
        <f>Fintab!F135</f>
        <v>0</v>
      </c>
      <c r="B102" s="194">
        <v>0</v>
      </c>
      <c r="C102" s="194">
        <v>0</v>
      </c>
      <c r="D102" s="194">
        <v>0</v>
      </c>
      <c r="E102" s="194">
        <v>0</v>
      </c>
      <c r="F102" s="174">
        <v>0</v>
      </c>
      <c r="G102" s="196" t="s">
        <v>477</v>
      </c>
      <c r="H102" s="194">
        <f>IF(LEN(I102)&gt;1,LEN(I102),0)</f>
        <v>0</v>
      </c>
      <c r="I102" s="193" t="str">
        <f>IF(Tablica_A!O68&lt;&gt;"",Tablica_A!O68,"-")</f>
        <v>-</v>
      </c>
    </row>
    <row r="103" spans="1:9" ht="12.75" hidden="1">
      <c r="A103" s="194">
        <v>0</v>
      </c>
      <c r="B103" s="194">
        <v>0</v>
      </c>
      <c r="C103" s="194">
        <v>0</v>
      </c>
      <c r="D103" s="194">
        <v>0</v>
      </c>
      <c r="E103" s="194">
        <v>0</v>
      </c>
      <c r="F103" s="174">
        <v>0</v>
      </c>
      <c r="G103" s="196" t="s">
        <v>478</v>
      </c>
      <c r="H103" s="194">
        <f>IF(LEN(I103)&gt;1,LEN(I103),0)</f>
        <v>0</v>
      </c>
      <c r="I103" s="193" t="str">
        <f>IF(Tablica_A!C70&lt;&gt;"",Tablica_A!C70,"-")</f>
        <v>-</v>
      </c>
    </row>
    <row r="104" spans="1:9" ht="12.75" hidden="1">
      <c r="A104" s="194">
        <v>0</v>
      </c>
      <c r="B104" s="194">
        <v>0</v>
      </c>
      <c r="C104" s="194">
        <v>0</v>
      </c>
      <c r="D104" s="194">
        <v>0</v>
      </c>
      <c r="E104" s="194">
        <v>0</v>
      </c>
      <c r="F104" s="174">
        <v>0</v>
      </c>
      <c r="G104" s="196" t="s">
        <v>479</v>
      </c>
      <c r="H104" s="194">
        <f>Tablica_A!I70</f>
        <v>0</v>
      </c>
      <c r="I104" s="193" t="s">
        <v>391</v>
      </c>
    </row>
    <row r="105" spans="1:9" ht="12.75" hidden="1">
      <c r="A105" s="194">
        <v>0</v>
      </c>
      <c r="B105" s="194">
        <v>0</v>
      </c>
      <c r="C105" s="194">
        <v>0</v>
      </c>
      <c r="D105" s="194">
        <v>0</v>
      </c>
      <c r="E105" s="194">
        <v>0</v>
      </c>
      <c r="F105" s="174">
        <v>0</v>
      </c>
      <c r="G105" s="196" t="s">
        <v>480</v>
      </c>
      <c r="H105" s="194">
        <f>IF(LEN(I105)&gt;1,LEN(I105),0)</f>
        <v>0</v>
      </c>
      <c r="I105" s="193" t="str">
        <f>IF(Tablica_A!K70&lt;&gt;"",Tablica_A!K70,"-")</f>
        <v>-</v>
      </c>
    </row>
    <row r="106" spans="1:9" ht="12.75" hidden="1">
      <c r="A106" s="194">
        <v>0</v>
      </c>
      <c r="B106" s="194">
        <v>0</v>
      </c>
      <c r="C106" s="194">
        <v>0</v>
      </c>
      <c r="D106" s="194">
        <v>0</v>
      </c>
      <c r="E106" s="194">
        <v>0</v>
      </c>
      <c r="F106" s="174">
        <v>0</v>
      </c>
      <c r="G106" s="196" t="s">
        <v>481</v>
      </c>
      <c r="H106" s="194">
        <f>IF(LEN(I106)&gt;1,LEN(I106),0)</f>
        <v>0</v>
      </c>
      <c r="I106" s="193" t="str">
        <f>IF(Tablica_A!O70&lt;&gt;"",Tablica_A!O70,"-")</f>
        <v>-</v>
      </c>
    </row>
    <row r="107" spans="1:9" ht="12.75" hidden="1">
      <c r="A107" s="194">
        <v>0</v>
      </c>
      <c r="B107" s="194">
        <v>0</v>
      </c>
      <c r="C107" s="194">
        <v>0</v>
      </c>
      <c r="D107" s="194">
        <v>0</v>
      </c>
      <c r="E107" s="194">
        <v>0</v>
      </c>
      <c r="F107" s="174">
        <v>0</v>
      </c>
      <c r="G107" s="196" t="s">
        <v>482</v>
      </c>
      <c r="H107" s="194">
        <f>IF(LEN(I107)&gt;1,LEN(I107),0)</f>
        <v>0</v>
      </c>
      <c r="I107" s="193" t="str">
        <f>IF(Tablica_A!C72&lt;&gt;"",Tablica_A!C72,"-")</f>
        <v>-</v>
      </c>
    </row>
    <row r="108" spans="1:9" ht="12.75" hidden="1">
      <c r="A108" s="194">
        <v>0</v>
      </c>
      <c r="B108" s="194">
        <v>0</v>
      </c>
      <c r="C108" s="194">
        <v>0</v>
      </c>
      <c r="D108" s="194">
        <v>0</v>
      </c>
      <c r="E108" s="194">
        <v>0</v>
      </c>
      <c r="F108" s="174">
        <v>0</v>
      </c>
      <c r="G108" s="196" t="s">
        <v>483</v>
      </c>
      <c r="H108" s="194">
        <f>Tablica_A!I72</f>
        <v>0</v>
      </c>
      <c r="I108" s="193" t="s">
        <v>391</v>
      </c>
    </row>
    <row r="109" spans="1:9" ht="12.75" hidden="1">
      <c r="A109" s="194">
        <v>0</v>
      </c>
      <c r="B109" s="194">
        <v>0</v>
      </c>
      <c r="C109" s="194">
        <v>0</v>
      </c>
      <c r="D109" s="194">
        <v>0</v>
      </c>
      <c r="E109" s="194">
        <v>0</v>
      </c>
      <c r="F109" s="174">
        <v>0</v>
      </c>
      <c r="G109" s="196" t="s">
        <v>484</v>
      </c>
      <c r="H109" s="194">
        <f>IF(LEN(I109)&gt;1,LEN(I109),0)</f>
        <v>0</v>
      </c>
      <c r="I109" s="193" t="str">
        <f>IF(Tablica_A!K72&lt;&gt;"",Tablica_A!K72,"-")</f>
        <v>-</v>
      </c>
    </row>
    <row r="110" spans="1:9" ht="12.75" hidden="1">
      <c r="A110" s="194">
        <v>0</v>
      </c>
      <c r="B110" s="194">
        <v>0</v>
      </c>
      <c r="C110" s="194">
        <v>0</v>
      </c>
      <c r="D110" s="194">
        <v>0</v>
      </c>
      <c r="E110" s="194">
        <v>0</v>
      </c>
      <c r="F110" s="174">
        <v>0</v>
      </c>
      <c r="G110" s="196" t="s">
        <v>485</v>
      </c>
      <c r="H110" s="194">
        <f>IF(LEN(I110)&gt;1,LEN(I110),0)</f>
        <v>0</v>
      </c>
      <c r="I110" s="193" t="str">
        <f>IF(Tablica_A!O72&lt;&gt;"",Tablica_A!O72,"-")</f>
        <v>-</v>
      </c>
    </row>
    <row r="111" spans="1:9" ht="12.75" hidden="1">
      <c r="A111" s="194">
        <v>0</v>
      </c>
      <c r="B111" s="194">
        <v>0</v>
      </c>
      <c r="C111" s="194">
        <v>0</v>
      </c>
      <c r="D111" s="194">
        <v>0</v>
      </c>
      <c r="E111" s="194">
        <v>0</v>
      </c>
      <c r="F111" s="174">
        <v>0</v>
      </c>
      <c r="G111" s="196" t="s">
        <v>486</v>
      </c>
      <c r="H111" s="194">
        <f>IF(LEN(I111)&gt;1,LEN(I111),0)</f>
        <v>0</v>
      </c>
      <c r="I111" s="193" t="str">
        <f>IF(Tablica_A!C74&lt;&gt;"",Tablica_A!C74,"-")</f>
        <v>-</v>
      </c>
    </row>
    <row r="112" spans="1:9" ht="12.75" hidden="1">
      <c r="A112" s="194">
        <v>0</v>
      </c>
      <c r="B112" s="194">
        <v>0</v>
      </c>
      <c r="C112" s="194">
        <v>0</v>
      </c>
      <c r="D112" s="194">
        <v>0</v>
      </c>
      <c r="E112" s="194">
        <v>0</v>
      </c>
      <c r="F112" s="174">
        <v>0</v>
      </c>
      <c r="G112" s="196" t="s">
        <v>487</v>
      </c>
      <c r="H112" s="194">
        <f>Tablica_A!I74</f>
        <v>0</v>
      </c>
      <c r="I112" s="193" t="s">
        <v>391</v>
      </c>
    </row>
    <row r="113" spans="1:9" ht="12.75" hidden="1">
      <c r="A113" s="194">
        <v>0</v>
      </c>
      <c r="B113" s="194">
        <v>0</v>
      </c>
      <c r="C113" s="194">
        <v>0</v>
      </c>
      <c r="D113" s="194">
        <v>0</v>
      </c>
      <c r="E113" s="194">
        <v>0</v>
      </c>
      <c r="F113" s="174">
        <v>0</v>
      </c>
      <c r="G113" s="196" t="s">
        <v>488</v>
      </c>
      <c r="H113" s="194">
        <f>IF(LEN(I113)&gt;1,LEN(I113),0)</f>
        <v>0</v>
      </c>
      <c r="I113" s="193" t="str">
        <f>IF(Tablica_A!K74&lt;&gt;"",Tablica_A!K74,"-")</f>
        <v>-</v>
      </c>
    </row>
    <row r="114" spans="1:9" ht="12.75" hidden="1">
      <c r="A114" s="194">
        <v>0</v>
      </c>
      <c r="B114" s="194">
        <v>0</v>
      </c>
      <c r="C114" s="194">
        <v>0</v>
      </c>
      <c r="D114" s="194">
        <v>0</v>
      </c>
      <c r="E114" s="194">
        <v>0</v>
      </c>
      <c r="F114" s="174">
        <v>0</v>
      </c>
      <c r="G114" s="196" t="s">
        <v>489</v>
      </c>
      <c r="H114" s="194">
        <f>IF(LEN(I114)&gt;1,LEN(I114),0)</f>
        <v>0</v>
      </c>
      <c r="I114" s="193" t="str">
        <f>IF(Tablica_A!O74&lt;&gt;"",Tablica_A!O74,"-")</f>
        <v>-</v>
      </c>
    </row>
    <row r="115" spans="1:9" ht="12.75" hidden="1">
      <c r="A115" s="194">
        <v>0</v>
      </c>
      <c r="B115" s="194">
        <v>0</v>
      </c>
      <c r="C115" s="194">
        <v>0</v>
      </c>
      <c r="D115" s="194">
        <v>0</v>
      </c>
      <c r="E115" s="194">
        <v>0</v>
      </c>
      <c r="F115" s="174">
        <v>0</v>
      </c>
      <c r="G115" s="196" t="s">
        <v>490</v>
      </c>
      <c r="H115" s="194">
        <f>IF(LEN(I115)&gt;1,LEN(I115),0)</f>
        <v>0</v>
      </c>
      <c r="I115" s="193" t="str">
        <f>IF(Tablica_A!C76&lt;&gt;"",Tablica_A!C76,"-")</f>
        <v>-</v>
      </c>
    </row>
    <row r="116" spans="1:9" ht="12.75" hidden="1">
      <c r="A116" s="194">
        <v>0</v>
      </c>
      <c r="B116" s="194">
        <v>0</v>
      </c>
      <c r="C116" s="194">
        <v>0</v>
      </c>
      <c r="D116" s="194">
        <v>0</v>
      </c>
      <c r="E116" s="194">
        <v>0</v>
      </c>
      <c r="F116" s="174">
        <v>0</v>
      </c>
      <c r="G116" s="196" t="s">
        <v>491</v>
      </c>
      <c r="H116" s="194">
        <f>Tablica_A!I76</f>
        <v>0</v>
      </c>
      <c r="I116" s="193" t="s">
        <v>391</v>
      </c>
    </row>
    <row r="117" spans="1:9" ht="12.75" hidden="1">
      <c r="A117" s="194">
        <v>0</v>
      </c>
      <c r="B117" s="194">
        <v>0</v>
      </c>
      <c r="C117" s="194">
        <v>0</v>
      </c>
      <c r="D117" s="194">
        <v>0</v>
      </c>
      <c r="E117" s="194">
        <v>0</v>
      </c>
      <c r="F117" s="174">
        <v>0</v>
      </c>
      <c r="G117" s="196" t="s">
        <v>492</v>
      </c>
      <c r="H117" s="194">
        <f>IF(LEN(I117)&gt;1,LEN(I117),0)</f>
        <v>0</v>
      </c>
      <c r="I117" s="193" t="str">
        <f>IF(Tablica_A!K76&lt;&gt;"",Tablica_A!K76,"-")</f>
        <v>-</v>
      </c>
    </row>
    <row r="118" spans="1:9" ht="12.75" hidden="1">
      <c r="A118" s="194">
        <v>0</v>
      </c>
      <c r="B118" s="194">
        <v>0</v>
      </c>
      <c r="C118" s="194">
        <v>0</v>
      </c>
      <c r="D118" s="194">
        <v>0</v>
      </c>
      <c r="E118" s="194">
        <v>0</v>
      </c>
      <c r="F118" s="174">
        <v>0</v>
      </c>
      <c r="G118" s="196" t="s">
        <v>493</v>
      </c>
      <c r="H118" s="194">
        <f>IF(LEN(I118)&gt;1,LEN(I118),0)</f>
        <v>0</v>
      </c>
      <c r="I118" s="193" t="str">
        <f>IF(Tablica_A!O76&lt;&gt;"",Tablica_A!O76,"-")</f>
        <v>-</v>
      </c>
    </row>
    <row r="119" spans="1:9" ht="12.75" hidden="1">
      <c r="A119" s="194">
        <v>0</v>
      </c>
      <c r="B119" s="194">
        <v>0</v>
      </c>
      <c r="C119" s="194">
        <v>0</v>
      </c>
      <c r="D119" s="194">
        <v>0</v>
      </c>
      <c r="E119" s="194">
        <v>0</v>
      </c>
      <c r="F119" s="174">
        <v>0</v>
      </c>
      <c r="G119" s="196" t="s">
        <v>507</v>
      </c>
      <c r="H119" s="194">
        <f>IF(LEN(I119)&gt;1,LEN(I119),0)</f>
        <v>0</v>
      </c>
      <c r="I119" s="193" t="str">
        <f>IF(Tablica_A!C78&lt;&gt;"",Tablica_A!C78,"-")</f>
        <v>-</v>
      </c>
    </row>
    <row r="120" spans="1:9" ht="12.75" hidden="1">
      <c r="A120" s="194">
        <v>0</v>
      </c>
      <c r="B120" s="194">
        <v>0</v>
      </c>
      <c r="C120" s="194">
        <v>0</v>
      </c>
      <c r="D120" s="194">
        <v>0</v>
      </c>
      <c r="E120" s="194">
        <v>0</v>
      </c>
      <c r="F120" s="174">
        <v>0</v>
      </c>
      <c r="G120" s="196" t="s">
        <v>521</v>
      </c>
      <c r="H120" s="194">
        <f>Tablica_A!I78</f>
        <v>0</v>
      </c>
      <c r="I120" s="193" t="s">
        <v>391</v>
      </c>
    </row>
    <row r="121" spans="1:9" ht="12.75" hidden="1">
      <c r="A121" s="194">
        <v>0</v>
      </c>
      <c r="B121" s="194">
        <v>0</v>
      </c>
      <c r="C121" s="194">
        <v>0</v>
      </c>
      <c r="D121" s="194">
        <v>0</v>
      </c>
      <c r="E121" s="194">
        <v>0</v>
      </c>
      <c r="F121" s="174">
        <v>0</v>
      </c>
      <c r="G121" s="196" t="s">
        <v>522</v>
      </c>
      <c r="H121" s="194">
        <f>IF(LEN(I121)&gt;1,LEN(I121),0)</f>
        <v>0</v>
      </c>
      <c r="I121" s="193" t="str">
        <f>IF(Tablica_A!K78&lt;&gt;"",Tablica_A!K78,"-")</f>
        <v>-</v>
      </c>
    </row>
    <row r="122" spans="1:9" ht="12.75" hidden="1">
      <c r="A122" s="194">
        <v>0</v>
      </c>
      <c r="B122" s="194">
        <v>0</v>
      </c>
      <c r="C122" s="194">
        <v>0</v>
      </c>
      <c r="D122" s="194">
        <v>0</v>
      </c>
      <c r="E122" s="194">
        <v>0</v>
      </c>
      <c r="F122" s="174">
        <v>0</v>
      </c>
      <c r="G122" s="196" t="s">
        <v>523</v>
      </c>
      <c r="H122" s="194">
        <f>IF(LEN(I122)&gt;1,LEN(I122),0)</f>
        <v>0</v>
      </c>
      <c r="I122" s="193" t="str">
        <f>IF(Tablica_A!O78&lt;&gt;"",Tablica_A!O78,"-")</f>
        <v>-</v>
      </c>
    </row>
    <row r="123" spans="1:9" ht="12.75" hidden="1">
      <c r="A123" s="194">
        <v>0</v>
      </c>
      <c r="B123" s="194">
        <v>0</v>
      </c>
      <c r="C123" s="194">
        <v>0</v>
      </c>
      <c r="D123" s="194">
        <v>0</v>
      </c>
      <c r="E123" s="194">
        <v>0</v>
      </c>
      <c r="F123" s="174">
        <v>0</v>
      </c>
      <c r="G123" s="196" t="s">
        <v>503</v>
      </c>
      <c r="H123" s="194">
        <f>IF(LEN(I123)&gt;1,LEN(I123),0)</f>
        <v>0</v>
      </c>
      <c r="I123" s="193" t="str">
        <f>IF(Tablica_A!C80&lt;&gt;"",Tablica_A!C80,"-")</f>
        <v>-</v>
      </c>
    </row>
    <row r="124" spans="1:9" ht="12.75" hidden="1">
      <c r="A124" s="194">
        <v>0</v>
      </c>
      <c r="B124" s="194">
        <v>0</v>
      </c>
      <c r="C124" s="194">
        <v>0</v>
      </c>
      <c r="D124" s="194">
        <v>0</v>
      </c>
      <c r="E124" s="194">
        <v>0</v>
      </c>
      <c r="F124" s="174">
        <v>0</v>
      </c>
      <c r="G124" s="196" t="s">
        <v>504</v>
      </c>
      <c r="H124" s="194">
        <f>Tablica_A!I80</f>
        <v>0</v>
      </c>
      <c r="I124" s="193" t="s">
        <v>391</v>
      </c>
    </row>
    <row r="125" spans="1:9" ht="12.75" hidden="1">
      <c r="A125" s="194">
        <v>0</v>
      </c>
      <c r="B125" s="194">
        <v>0</v>
      </c>
      <c r="C125" s="194">
        <v>0</v>
      </c>
      <c r="D125" s="194">
        <v>0</v>
      </c>
      <c r="E125" s="194">
        <v>0</v>
      </c>
      <c r="F125" s="174">
        <v>0</v>
      </c>
      <c r="G125" s="196" t="s">
        <v>505</v>
      </c>
      <c r="H125" s="194">
        <f>IF(LEN(I125)&gt;1,LEN(I125),0)</f>
        <v>0</v>
      </c>
      <c r="I125" s="193" t="str">
        <f>IF(Tablica_A!K80&lt;&gt;"",Tablica_A!K80,"-")</f>
        <v>-</v>
      </c>
    </row>
    <row r="126" spans="1:9" ht="12.75" hidden="1">
      <c r="A126" s="194">
        <v>0</v>
      </c>
      <c r="B126" s="194">
        <v>0</v>
      </c>
      <c r="C126" s="194">
        <v>0</v>
      </c>
      <c r="D126" s="194">
        <v>0</v>
      </c>
      <c r="E126" s="194">
        <v>0</v>
      </c>
      <c r="F126" s="174">
        <v>0</v>
      </c>
      <c r="G126" s="196" t="s">
        <v>506</v>
      </c>
      <c r="H126" s="194">
        <f>IF(LEN(I126)&gt;1,LEN(I126),0)</f>
        <v>0</v>
      </c>
      <c r="I126" s="193" t="str">
        <f>IF(Tablica_A!O80&lt;&gt;"",Tablica_A!O80,"-")</f>
        <v>-</v>
      </c>
    </row>
    <row r="127" spans="1:9" ht="12.75" hidden="1">
      <c r="A127" s="194">
        <v>0</v>
      </c>
      <c r="B127" s="194">
        <v>0</v>
      </c>
      <c r="C127" s="194">
        <v>0</v>
      </c>
      <c r="D127" s="194">
        <v>0</v>
      </c>
      <c r="E127" s="194">
        <v>0</v>
      </c>
      <c r="F127" s="174">
        <v>0</v>
      </c>
      <c r="G127" s="196" t="s">
        <v>499</v>
      </c>
      <c r="H127" s="194">
        <f>IF(LEN(I127)&gt;1,LEN(I127),0)</f>
        <v>0</v>
      </c>
      <c r="I127" s="193" t="str">
        <f>IF(Tablica_A!C82&lt;&gt;"",Tablica_A!C82,"-")</f>
        <v>-</v>
      </c>
    </row>
    <row r="128" spans="1:9" ht="12.75" hidden="1">
      <c r="A128" s="194">
        <v>0</v>
      </c>
      <c r="B128" s="194">
        <v>0</v>
      </c>
      <c r="C128" s="194">
        <v>0</v>
      </c>
      <c r="D128" s="194">
        <v>0</v>
      </c>
      <c r="E128" s="194">
        <v>0</v>
      </c>
      <c r="F128" s="174">
        <v>0</v>
      </c>
      <c r="G128" s="196" t="s">
        <v>500</v>
      </c>
      <c r="H128" s="194">
        <f>Tablica_A!I82</f>
        <v>0</v>
      </c>
      <c r="I128" s="193" t="s">
        <v>391</v>
      </c>
    </row>
    <row r="129" spans="1:9" ht="12.75" hidden="1">
      <c r="A129" s="194">
        <v>0</v>
      </c>
      <c r="B129" s="194">
        <v>0</v>
      </c>
      <c r="C129" s="194">
        <v>0</v>
      </c>
      <c r="D129" s="194">
        <v>0</v>
      </c>
      <c r="E129" s="194">
        <v>0</v>
      </c>
      <c r="F129" s="174">
        <v>0</v>
      </c>
      <c r="G129" s="196" t="s">
        <v>501</v>
      </c>
      <c r="H129" s="194">
        <f>IF(LEN(I129)&gt;1,LEN(I129),0)</f>
        <v>0</v>
      </c>
      <c r="I129" s="193" t="str">
        <f>IF(Tablica_A!K82&lt;&gt;"",Tablica_A!K82,"-")</f>
        <v>-</v>
      </c>
    </row>
    <row r="130" spans="1:9" ht="12.75" hidden="1">
      <c r="A130" s="194">
        <v>0</v>
      </c>
      <c r="B130" s="194">
        <v>0</v>
      </c>
      <c r="C130" s="194">
        <v>0</v>
      </c>
      <c r="D130" s="194">
        <v>0</v>
      </c>
      <c r="E130" s="194">
        <v>0</v>
      </c>
      <c r="F130" s="174">
        <v>0</v>
      </c>
      <c r="G130" s="196" t="s">
        <v>502</v>
      </c>
      <c r="H130" s="194">
        <f>IF(LEN(I130)&gt;1,LEN(I130),0)</f>
        <v>0</v>
      </c>
      <c r="I130" s="193" t="str">
        <f>IF(Tablica_A!O82&lt;&gt;"",Tablica_A!O82,"-")</f>
        <v>-</v>
      </c>
    </row>
    <row r="131" spans="1:9" ht="12.75" hidden="1">
      <c r="A131" s="194">
        <v>0</v>
      </c>
      <c r="B131" s="194">
        <v>0</v>
      </c>
      <c r="C131" s="194">
        <v>0</v>
      </c>
      <c r="D131" s="194">
        <v>0</v>
      </c>
      <c r="E131" s="194">
        <v>0</v>
      </c>
      <c r="F131" s="174">
        <v>0</v>
      </c>
      <c r="G131" s="196" t="s">
        <v>498</v>
      </c>
      <c r="H131" s="194">
        <f>IF(LEN(I131)&gt;1,LEN(I131),0)</f>
        <v>0</v>
      </c>
      <c r="I131" s="193" t="str">
        <f>IF(Tablica_A!C84&lt;&gt;"",Tablica_A!C84,"-")</f>
        <v>-</v>
      </c>
    </row>
    <row r="132" spans="1:9" ht="12.75" hidden="1">
      <c r="A132" s="194">
        <v>0</v>
      </c>
      <c r="B132" s="194">
        <v>0</v>
      </c>
      <c r="C132" s="194">
        <v>0</v>
      </c>
      <c r="D132" s="194">
        <v>0</v>
      </c>
      <c r="E132" s="194">
        <v>0</v>
      </c>
      <c r="F132" s="174">
        <v>0</v>
      </c>
      <c r="G132" s="196" t="s">
        <v>495</v>
      </c>
      <c r="H132" s="194">
        <f>Tablica_A!I84</f>
        <v>0</v>
      </c>
      <c r="I132" s="193" t="s">
        <v>391</v>
      </c>
    </row>
    <row r="133" spans="1:9" ht="12.75" hidden="1">
      <c r="A133" s="194">
        <v>0</v>
      </c>
      <c r="B133" s="194">
        <v>0</v>
      </c>
      <c r="C133" s="194">
        <v>0</v>
      </c>
      <c r="D133" s="194">
        <v>0</v>
      </c>
      <c r="E133" s="194">
        <v>0</v>
      </c>
      <c r="F133" s="174">
        <v>0</v>
      </c>
      <c r="G133" s="196" t="s">
        <v>496</v>
      </c>
      <c r="H133" s="194">
        <f>IF(LEN(I133)&gt;1,LEN(I133),0)</f>
        <v>0</v>
      </c>
      <c r="I133" s="193" t="str">
        <f>IF(Tablica_A!K84&lt;&gt;"",Tablica_A!K84,"-")</f>
        <v>-</v>
      </c>
    </row>
    <row r="134" spans="1:9" ht="12.75" hidden="1">
      <c r="A134" s="194">
        <v>0</v>
      </c>
      <c r="B134" s="194">
        <v>0</v>
      </c>
      <c r="C134" s="194">
        <v>0</v>
      </c>
      <c r="D134" s="194">
        <v>0</v>
      </c>
      <c r="E134" s="194">
        <v>0</v>
      </c>
      <c r="F134" s="174">
        <v>0</v>
      </c>
      <c r="G134" s="196" t="s">
        <v>497</v>
      </c>
      <c r="H134" s="194">
        <f>IF(LEN(I134)&gt;1,LEN(I134),0)</f>
        <v>0</v>
      </c>
      <c r="I134" s="193" t="str">
        <f>IF(Tablica_A!O84&lt;&gt;"",Tablica_A!O84,"-")</f>
        <v>-</v>
      </c>
    </row>
    <row r="135" spans="1:9" ht="12.75" hidden="1">
      <c r="A135" s="194">
        <v>0</v>
      </c>
      <c r="B135" s="194">
        <v>0</v>
      </c>
      <c r="C135" s="194">
        <v>0</v>
      </c>
      <c r="D135" s="194">
        <v>0</v>
      </c>
      <c r="E135" s="194">
        <v>0</v>
      </c>
      <c r="F135" s="174">
        <v>0</v>
      </c>
      <c r="G135" s="193" t="s">
        <v>524</v>
      </c>
      <c r="H135" s="194">
        <f>Tablica_A!U90</f>
        <v>1552</v>
      </c>
      <c r="I135" s="193" t="s">
        <v>391</v>
      </c>
    </row>
    <row r="136" spans="1:9" ht="12.75" hidden="1">
      <c r="A136" s="194">
        <v>0</v>
      </c>
      <c r="B136" s="194">
        <v>0</v>
      </c>
      <c r="C136" s="194">
        <v>0</v>
      </c>
      <c r="D136" s="194">
        <v>0</v>
      </c>
      <c r="E136" s="194">
        <v>0</v>
      </c>
      <c r="F136" s="174">
        <v>0</v>
      </c>
      <c r="G136" s="193" t="s">
        <v>533</v>
      </c>
      <c r="H136" s="194">
        <v>0</v>
      </c>
      <c r="I136" s="193" t="str">
        <f>IF(Tablica_A!C95&lt;&gt;"",Tablica_A!C95,"-")</f>
        <v>LORENZO GORGONI</v>
      </c>
    </row>
    <row r="137" spans="1:9" ht="12.75" hidden="1">
      <c r="A137" s="194">
        <v>0</v>
      </c>
      <c r="B137" s="194">
        <v>0</v>
      </c>
      <c r="C137" s="194">
        <v>0</v>
      </c>
      <c r="D137" s="194">
        <v>0</v>
      </c>
      <c r="E137" s="194">
        <v>0</v>
      </c>
      <c r="F137" s="174">
        <v>0</v>
      </c>
      <c r="G137" s="193" t="s">
        <v>534</v>
      </c>
      <c r="H137" s="194">
        <f aca="true" t="shared" si="5" ref="H137:H155">IF(LEN(I137)&gt;1,LEN(I137),0)</f>
        <v>29</v>
      </c>
      <c r="I137" s="193" t="str">
        <f>IF(Tablica_A!C97&lt;&gt;"",Tablica_A!C97,"-")</f>
        <v>ASSICURAZIONI GENERALI S.P.A.</v>
      </c>
    </row>
    <row r="138" spans="1:9" ht="12.75" hidden="1">
      <c r="A138" s="194">
        <v>0</v>
      </c>
      <c r="B138" s="194">
        <v>0</v>
      </c>
      <c r="C138" s="194">
        <v>0</v>
      </c>
      <c r="D138" s="194">
        <v>0</v>
      </c>
      <c r="E138" s="194">
        <v>0</v>
      </c>
      <c r="F138" s="174">
        <v>0</v>
      </c>
      <c r="G138" s="193" t="s">
        <v>535</v>
      </c>
      <c r="H138" s="194">
        <f t="shared" si="5"/>
        <v>13</v>
      </c>
      <c r="I138" s="193" t="str">
        <f>IF(Tablica_A!C99&lt;&gt;"",Tablica_A!C99,"-")</f>
        <v>CERERE S.R.L.</v>
      </c>
    </row>
    <row r="139" spans="1:9" ht="12.75" hidden="1">
      <c r="A139" s="194">
        <v>0</v>
      </c>
      <c r="B139" s="194">
        <v>0</v>
      </c>
      <c r="C139" s="194">
        <v>0</v>
      </c>
      <c r="D139" s="194">
        <v>0</v>
      </c>
      <c r="E139" s="194">
        <v>0</v>
      </c>
      <c r="F139" s="174">
        <v>0</v>
      </c>
      <c r="G139" s="193" t="s">
        <v>536</v>
      </c>
      <c r="H139" s="194">
        <f t="shared" si="5"/>
        <v>15</v>
      </c>
      <c r="I139" s="193" t="str">
        <f>IF(Tablica_A!C101&lt;&gt;"",Tablica_A!C101,"-")</f>
        <v>ANTONIA GORGONI</v>
      </c>
    </row>
    <row r="140" spans="1:9" ht="12.75" hidden="1">
      <c r="A140" s="194">
        <v>0</v>
      </c>
      <c r="B140" s="194">
        <v>0</v>
      </c>
      <c r="C140" s="194">
        <v>0</v>
      </c>
      <c r="D140" s="194">
        <v>0</v>
      </c>
      <c r="E140" s="194">
        <v>0</v>
      </c>
      <c r="F140" s="174">
        <v>0</v>
      </c>
      <c r="G140" s="193" t="s">
        <v>537</v>
      </c>
      <c r="H140" s="194">
        <f t="shared" si="5"/>
        <v>16</v>
      </c>
      <c r="I140" s="193" t="str">
        <f>IF(Tablica_A!C103&lt;&gt;"",Tablica_A!C103,"-")</f>
        <v>MILJAN TODOROVIĆ</v>
      </c>
    </row>
    <row r="141" spans="1:9" ht="12.75" hidden="1">
      <c r="A141" s="194">
        <v>0</v>
      </c>
      <c r="B141" s="194">
        <v>0</v>
      </c>
      <c r="C141" s="194">
        <v>0</v>
      </c>
      <c r="D141" s="194">
        <v>0</v>
      </c>
      <c r="E141" s="194">
        <v>0</v>
      </c>
      <c r="F141" s="174">
        <v>0</v>
      </c>
      <c r="G141" s="193" t="s">
        <v>538</v>
      </c>
      <c r="H141" s="194">
        <f t="shared" si="5"/>
        <v>20</v>
      </c>
      <c r="I141" s="193" t="str">
        <f>IF(Tablica_A!C105&lt;&gt;"",Tablica_A!C105,"-")</f>
        <v>SIGILFREDO MONTINARI</v>
      </c>
    </row>
    <row r="142" spans="1:9" ht="12.75" hidden="1">
      <c r="A142" s="194">
        <v>0</v>
      </c>
      <c r="B142" s="194">
        <v>0</v>
      </c>
      <c r="C142" s="194">
        <v>0</v>
      </c>
      <c r="D142" s="194">
        <v>0</v>
      </c>
      <c r="E142" s="194">
        <v>0</v>
      </c>
      <c r="F142" s="174">
        <v>0</v>
      </c>
      <c r="G142" s="193" t="s">
        <v>539</v>
      </c>
      <c r="H142" s="194">
        <f t="shared" si="5"/>
        <v>15</v>
      </c>
      <c r="I142" s="193" t="str">
        <f>IF(Tablica_A!C107&lt;&gt;"",Tablica_A!C107,"-")</f>
        <v>DARIO MONTINARI</v>
      </c>
    </row>
    <row r="143" spans="1:9" ht="12.75" hidden="1">
      <c r="A143" s="194">
        <v>0</v>
      </c>
      <c r="B143" s="194">
        <v>0</v>
      </c>
      <c r="C143" s="194">
        <v>0</v>
      </c>
      <c r="D143" s="194">
        <v>0</v>
      </c>
      <c r="E143" s="194">
        <v>0</v>
      </c>
      <c r="F143" s="174">
        <v>0</v>
      </c>
      <c r="G143" s="193" t="s">
        <v>540</v>
      </c>
      <c r="H143" s="194">
        <f t="shared" si="5"/>
        <v>15</v>
      </c>
      <c r="I143" s="193" t="str">
        <f>IF(Tablica_A!C109&lt;&gt;"",Tablica_A!C109,"-")</f>
        <v>PIERO MONTINARI</v>
      </c>
    </row>
    <row r="144" spans="1:9" ht="12.75" hidden="1">
      <c r="A144" s="194">
        <v>0</v>
      </c>
      <c r="B144" s="194">
        <v>0</v>
      </c>
      <c r="C144" s="194">
        <v>0</v>
      </c>
      <c r="D144" s="194">
        <v>0</v>
      </c>
      <c r="E144" s="194">
        <v>0</v>
      </c>
      <c r="F144" s="174">
        <v>0</v>
      </c>
      <c r="G144" s="193" t="s">
        <v>541</v>
      </c>
      <c r="H144" s="194">
        <f t="shared" si="5"/>
        <v>16</v>
      </c>
      <c r="I144" s="193" t="str">
        <f>IF(Tablica_A!C111&lt;&gt;"",Tablica_A!C111,"-")</f>
        <v>ANDREA MONTINARI</v>
      </c>
    </row>
    <row r="145" spans="1:9" ht="12.75" hidden="1">
      <c r="A145" s="194">
        <v>0</v>
      </c>
      <c r="B145" s="194">
        <v>0</v>
      </c>
      <c r="C145" s="194">
        <v>0</v>
      </c>
      <c r="D145" s="194">
        <v>0</v>
      </c>
      <c r="E145" s="194">
        <v>0</v>
      </c>
      <c r="F145" s="174">
        <v>0</v>
      </c>
      <c r="G145" s="193" t="s">
        <v>542</v>
      </c>
      <c r="H145" s="194">
        <f t="shared" si="5"/>
        <v>32</v>
      </c>
      <c r="I145" s="193" t="str">
        <f>IF(Tablica_A!C113&lt;&gt;"",Tablica_A!C113,"-")</f>
        <v>POBA D.D. SKRBNIČKI ZBIRNI RAČUN</v>
      </c>
    </row>
    <row r="146" spans="1:9" ht="12.75" hidden="1">
      <c r="A146" s="194">
        <v>0</v>
      </c>
      <c r="B146" s="194">
        <v>0</v>
      </c>
      <c r="C146" s="194">
        <v>0</v>
      </c>
      <c r="D146" s="194">
        <v>0</v>
      </c>
      <c r="E146" s="194">
        <v>0</v>
      </c>
      <c r="F146" s="174">
        <v>0</v>
      </c>
      <c r="G146" s="193" t="s">
        <v>543</v>
      </c>
      <c r="H146" s="194">
        <f t="shared" si="5"/>
        <v>29</v>
      </c>
      <c r="I146" s="193" t="str">
        <f>IF(Tablica_A!K95&lt;&gt;"",Tablica_A!K95,"-")</f>
        <v>CUTROFIANO,VIALE UMBERTO I 21</v>
      </c>
    </row>
    <row r="147" spans="1:9" ht="12.75" hidden="1">
      <c r="A147" s="194">
        <v>0</v>
      </c>
      <c r="B147" s="194">
        <v>0</v>
      </c>
      <c r="C147" s="194">
        <v>0</v>
      </c>
      <c r="D147" s="194">
        <v>0</v>
      </c>
      <c r="E147" s="194">
        <v>0</v>
      </c>
      <c r="F147" s="174">
        <v>0</v>
      </c>
      <c r="G147" s="193" t="s">
        <v>544</v>
      </c>
      <c r="H147" s="194">
        <f t="shared" si="5"/>
        <v>35</v>
      </c>
      <c r="I147" s="193" t="str">
        <f>IF(Tablica_A!K97&lt;&gt;"",Tablica_A!K97,"-")</f>
        <v>TRIESTE,PIAZZA DUCA DEGLI ABRUZZI 2</v>
      </c>
    </row>
    <row r="148" spans="1:9" ht="12.75" hidden="1">
      <c r="A148" s="194">
        <v>0</v>
      </c>
      <c r="B148" s="194">
        <v>0</v>
      </c>
      <c r="C148" s="194">
        <v>0</v>
      </c>
      <c r="D148" s="194">
        <v>0</v>
      </c>
      <c r="E148" s="194">
        <v>0</v>
      </c>
      <c r="F148" s="174">
        <v>0</v>
      </c>
      <c r="G148" s="193" t="s">
        <v>545</v>
      </c>
      <c r="H148" s="194">
        <f t="shared" si="5"/>
        <v>27</v>
      </c>
      <c r="I148" s="193" t="str">
        <f>IF(Tablica_A!K99&lt;&gt;"",Tablica_A!K99,"-")</f>
        <v>TRIESTE, VIA TORREBIANCA 43</v>
      </c>
    </row>
    <row r="149" spans="1:9" ht="12.75" hidden="1">
      <c r="A149" s="194">
        <v>0</v>
      </c>
      <c r="B149" s="194">
        <v>0</v>
      </c>
      <c r="C149" s="194">
        <v>0</v>
      </c>
      <c r="D149" s="194">
        <v>0</v>
      </c>
      <c r="E149" s="194">
        <v>0</v>
      </c>
      <c r="F149" s="174">
        <v>0</v>
      </c>
      <c r="G149" s="193" t="s">
        <v>546</v>
      </c>
      <c r="H149" s="194">
        <f t="shared" si="5"/>
        <v>23</v>
      </c>
      <c r="I149" s="193" t="str">
        <f>IF(Tablica_A!K101&lt;&gt;"",Tablica_A!K101,"-")</f>
        <v>CUTROFIANO,VIA PIAVE 16</v>
      </c>
    </row>
    <row r="150" spans="1:9" ht="12.75" hidden="1">
      <c r="A150" s="194">
        <v>0</v>
      </c>
      <c r="B150" s="194">
        <v>0</v>
      </c>
      <c r="C150" s="194">
        <v>0</v>
      </c>
      <c r="D150" s="194">
        <v>0</v>
      </c>
      <c r="E150" s="194">
        <v>0</v>
      </c>
      <c r="F150" s="174">
        <v>0</v>
      </c>
      <c r="G150" s="193" t="s">
        <v>547</v>
      </c>
      <c r="H150" s="194">
        <f t="shared" si="5"/>
        <v>32</v>
      </c>
      <c r="I150" s="193" t="str">
        <f>IF(Tablica_A!K103&lt;&gt;"",Tablica_A!K103,"-")</f>
        <v>MILANO,VIA VISCONTI DI MODRONE 1</v>
      </c>
    </row>
    <row r="151" spans="1:9" ht="12.75" hidden="1">
      <c r="A151" s="194">
        <v>0</v>
      </c>
      <c r="B151" s="194">
        <v>0</v>
      </c>
      <c r="C151" s="194">
        <v>0</v>
      </c>
      <c r="D151" s="194">
        <v>0</v>
      </c>
      <c r="E151" s="194">
        <v>0</v>
      </c>
      <c r="F151" s="174">
        <v>0</v>
      </c>
      <c r="G151" s="193" t="s">
        <v>548</v>
      </c>
      <c r="H151" s="194">
        <f t="shared" si="5"/>
        <v>21</v>
      </c>
      <c r="I151" s="193" t="str">
        <f>IF(Tablica_A!K105&lt;&gt;"",Tablica_A!K105,"-")</f>
        <v>LECCE, VIA P.CECERE 3</v>
      </c>
    </row>
    <row r="152" spans="1:9" ht="12.75" hidden="1">
      <c r="A152" s="194">
        <v>0</v>
      </c>
      <c r="B152" s="194">
        <v>0</v>
      </c>
      <c r="C152" s="194">
        <v>0</v>
      </c>
      <c r="D152" s="194">
        <v>0</v>
      </c>
      <c r="E152" s="194">
        <v>0</v>
      </c>
      <c r="F152" s="174">
        <v>0</v>
      </c>
      <c r="G152" s="193" t="s">
        <v>549</v>
      </c>
      <c r="H152" s="194">
        <f t="shared" si="5"/>
        <v>23</v>
      </c>
      <c r="I152" s="193" t="str">
        <f>IF(Tablica_A!K107&lt;&gt;"",Tablica_A!K107,"-")</f>
        <v>LECCE, VIA LIBERTINI 10</v>
      </c>
    </row>
    <row r="153" spans="1:9" ht="12.75" hidden="1">
      <c r="A153" s="194">
        <v>0</v>
      </c>
      <c r="B153" s="194">
        <v>0</v>
      </c>
      <c r="C153" s="194">
        <v>0</v>
      </c>
      <c r="D153" s="194">
        <v>0</v>
      </c>
      <c r="E153" s="194">
        <v>0</v>
      </c>
      <c r="F153" s="174">
        <v>0</v>
      </c>
      <c r="G153" s="193" t="s">
        <v>550</v>
      </c>
      <c r="H153" s="194">
        <f t="shared" si="5"/>
        <v>23</v>
      </c>
      <c r="I153" s="193" t="str">
        <f>IF(Tablica_A!K109&lt;&gt;"",Tablica_A!K109,"-")</f>
        <v>LECCE, VIA LIBERTINI 10</v>
      </c>
    </row>
    <row r="154" spans="1:9" ht="12.75" hidden="1">
      <c r="A154" s="194">
        <v>0</v>
      </c>
      <c r="B154" s="194">
        <v>0</v>
      </c>
      <c r="C154" s="194">
        <v>0</v>
      </c>
      <c r="D154" s="194">
        <v>0</v>
      </c>
      <c r="E154" s="194">
        <v>0</v>
      </c>
      <c r="F154" s="174">
        <v>0</v>
      </c>
      <c r="G154" s="193" t="s">
        <v>551</v>
      </c>
      <c r="H154" s="194">
        <f t="shared" si="5"/>
        <v>21</v>
      </c>
      <c r="I154" s="193" t="str">
        <f>IF(Tablica_A!K111&lt;&gt;"",Tablica_A!K111,"-")</f>
        <v>LECCE, VIA P.CECERE 3</v>
      </c>
    </row>
    <row r="155" spans="1:9" ht="12.75" hidden="1">
      <c r="A155" s="194">
        <v>0</v>
      </c>
      <c r="B155" s="194">
        <v>0</v>
      </c>
      <c r="C155" s="194">
        <v>0</v>
      </c>
      <c r="D155" s="194">
        <v>0</v>
      </c>
      <c r="E155" s="194">
        <v>0</v>
      </c>
      <c r="F155" s="174">
        <v>0</v>
      </c>
      <c r="G155" s="193" t="s">
        <v>552</v>
      </c>
      <c r="H155" s="194">
        <f t="shared" si="5"/>
        <v>22</v>
      </c>
      <c r="I155" s="193" t="str">
        <f>IF(Tablica_A!K113&lt;&gt;"",Tablica_A!K113,"-")</f>
        <v>KOPRIVNICA, OPATIČKA 3</v>
      </c>
    </row>
    <row r="156" spans="1:9" ht="12.75" hidden="1">
      <c r="A156" s="194">
        <v>0</v>
      </c>
      <c r="B156" s="194">
        <v>0</v>
      </c>
      <c r="C156" s="194">
        <v>0</v>
      </c>
      <c r="D156" s="194">
        <v>0</v>
      </c>
      <c r="E156" s="194">
        <v>0</v>
      </c>
      <c r="F156" s="174">
        <v>0</v>
      </c>
      <c r="G156" s="193" t="s">
        <v>562</v>
      </c>
      <c r="H156" s="194">
        <f>Tablica_A!S95</f>
        <v>40645</v>
      </c>
      <c r="I156" s="193" t="s">
        <v>391</v>
      </c>
    </row>
    <row r="157" spans="1:9" ht="12.75" hidden="1">
      <c r="A157" s="194">
        <v>0</v>
      </c>
      <c r="B157" s="194">
        <v>0</v>
      </c>
      <c r="C157" s="194">
        <v>0</v>
      </c>
      <c r="D157" s="194">
        <v>0</v>
      </c>
      <c r="E157" s="194">
        <v>0</v>
      </c>
      <c r="F157" s="174">
        <v>0</v>
      </c>
      <c r="G157" s="193" t="s">
        <v>553</v>
      </c>
      <c r="H157" s="194">
        <f>Tablica_A!S97</f>
        <v>39284</v>
      </c>
      <c r="I157" s="193" t="s">
        <v>391</v>
      </c>
    </row>
    <row r="158" spans="1:9" ht="12.75" hidden="1">
      <c r="A158" s="194">
        <v>0</v>
      </c>
      <c r="B158" s="194">
        <v>0</v>
      </c>
      <c r="C158" s="194">
        <v>0</v>
      </c>
      <c r="D158" s="194">
        <v>0</v>
      </c>
      <c r="E158" s="194">
        <v>0</v>
      </c>
      <c r="F158" s="174">
        <v>0</v>
      </c>
      <c r="G158" s="193" t="s">
        <v>554</v>
      </c>
      <c r="H158" s="194">
        <f>Tablica_A!S99</f>
        <v>39249</v>
      </c>
      <c r="I158" s="193" t="s">
        <v>391</v>
      </c>
    </row>
    <row r="159" spans="1:9" ht="12.75" hidden="1">
      <c r="A159" s="194">
        <v>0</v>
      </c>
      <c r="B159" s="194">
        <v>0</v>
      </c>
      <c r="C159" s="194">
        <v>0</v>
      </c>
      <c r="D159" s="194">
        <v>0</v>
      </c>
      <c r="E159" s="194">
        <v>0</v>
      </c>
      <c r="F159" s="174">
        <v>0</v>
      </c>
      <c r="G159" s="193" t="s">
        <v>555</v>
      </c>
      <c r="H159" s="194">
        <f>Tablica_A!S101</f>
        <v>37156</v>
      </c>
      <c r="I159" s="193" t="s">
        <v>391</v>
      </c>
    </row>
    <row r="160" spans="1:9" ht="12.75" hidden="1">
      <c r="A160" s="194">
        <v>0</v>
      </c>
      <c r="B160" s="194">
        <v>0</v>
      </c>
      <c r="C160" s="194">
        <v>0</v>
      </c>
      <c r="D160" s="194">
        <v>0</v>
      </c>
      <c r="E160" s="194">
        <v>0</v>
      </c>
      <c r="F160" s="174">
        <v>0</v>
      </c>
      <c r="G160" s="193" t="s">
        <v>556</v>
      </c>
      <c r="H160" s="194">
        <f>Tablica_A!S103</f>
        <v>34320</v>
      </c>
      <c r="I160" s="193" t="s">
        <v>391</v>
      </c>
    </row>
    <row r="161" spans="1:9" ht="12.75" hidden="1">
      <c r="A161" s="194">
        <v>0</v>
      </c>
      <c r="B161" s="194">
        <v>0</v>
      </c>
      <c r="C161" s="194">
        <v>0</v>
      </c>
      <c r="D161" s="194">
        <v>0</v>
      </c>
      <c r="E161" s="194">
        <v>0</v>
      </c>
      <c r="F161" s="174">
        <v>0</v>
      </c>
      <c r="G161" s="193" t="s">
        <v>557</v>
      </c>
      <c r="H161" s="194">
        <f>Tablica_A!S105</f>
        <v>23727</v>
      </c>
      <c r="I161" s="193" t="s">
        <v>391</v>
      </c>
    </row>
    <row r="162" spans="1:9" ht="12.75" hidden="1">
      <c r="A162" s="194">
        <v>0</v>
      </c>
      <c r="B162" s="194">
        <v>0</v>
      </c>
      <c r="C162" s="194">
        <v>0</v>
      </c>
      <c r="D162" s="194">
        <v>0</v>
      </c>
      <c r="E162" s="194">
        <v>0</v>
      </c>
      <c r="F162" s="174">
        <v>0</v>
      </c>
      <c r="G162" s="193" t="s">
        <v>558</v>
      </c>
      <c r="H162" s="194">
        <f>Tablica_A!S107</f>
        <v>23725</v>
      </c>
      <c r="I162" s="193" t="s">
        <v>391</v>
      </c>
    </row>
    <row r="163" spans="1:9" ht="12.75" hidden="1">
      <c r="A163" s="194">
        <v>0</v>
      </c>
      <c r="B163" s="194">
        <v>0</v>
      </c>
      <c r="C163" s="194">
        <v>0</v>
      </c>
      <c r="D163" s="194">
        <v>0</v>
      </c>
      <c r="E163" s="194">
        <v>0</v>
      </c>
      <c r="F163" s="174">
        <v>0</v>
      </c>
      <c r="G163" s="193" t="s">
        <v>559</v>
      </c>
      <c r="H163" s="194">
        <f>Tablica_A!S109</f>
        <v>23719</v>
      </c>
      <c r="I163" s="193" t="s">
        <v>391</v>
      </c>
    </row>
    <row r="164" spans="1:9" ht="12.75" hidden="1">
      <c r="A164" s="194">
        <v>0</v>
      </c>
      <c r="B164" s="194">
        <v>0</v>
      </c>
      <c r="C164" s="194">
        <v>0</v>
      </c>
      <c r="D164" s="194">
        <v>0</v>
      </c>
      <c r="E164" s="194">
        <v>0</v>
      </c>
      <c r="F164" s="174">
        <v>0</v>
      </c>
      <c r="G164" s="193" t="s">
        <v>560</v>
      </c>
      <c r="H164" s="194">
        <f>Tablica_A!S111</f>
        <v>23719</v>
      </c>
      <c r="I164" s="193" t="s">
        <v>391</v>
      </c>
    </row>
    <row r="165" spans="1:9" ht="12.75" hidden="1">
      <c r="A165" s="194">
        <v>0</v>
      </c>
      <c r="B165" s="194">
        <v>0</v>
      </c>
      <c r="C165" s="194">
        <v>0</v>
      </c>
      <c r="D165" s="194">
        <v>0</v>
      </c>
      <c r="E165" s="194">
        <v>0</v>
      </c>
      <c r="F165" s="174">
        <v>0</v>
      </c>
      <c r="G165" s="193" t="s">
        <v>561</v>
      </c>
      <c r="H165" s="194">
        <f>Tablica_A!S113</f>
        <v>19304</v>
      </c>
      <c r="I165" s="193" t="s">
        <v>391</v>
      </c>
    </row>
    <row r="166" spans="1:9" ht="12.75" hidden="1">
      <c r="A166" s="194">
        <v>0</v>
      </c>
      <c r="B166" s="194">
        <v>0</v>
      </c>
      <c r="C166" s="194">
        <v>0</v>
      </c>
      <c r="D166" s="194">
        <v>0</v>
      </c>
      <c r="E166" s="194">
        <v>0</v>
      </c>
      <c r="F166" s="174">
        <v>0</v>
      </c>
      <c r="G166" s="193" t="s">
        <v>574</v>
      </c>
      <c r="H166" s="194">
        <f>Tablica_A!S115</f>
        <v>2686</v>
      </c>
      <c r="I166" s="193" t="s">
        <v>391</v>
      </c>
    </row>
    <row r="167" spans="1:9" ht="12.75" hidden="1">
      <c r="A167" s="194">
        <v>0</v>
      </c>
      <c r="B167" s="194">
        <v>0</v>
      </c>
      <c r="C167" s="194">
        <v>0</v>
      </c>
      <c r="D167" s="194">
        <v>0</v>
      </c>
      <c r="E167" s="194">
        <v>0</v>
      </c>
      <c r="F167" s="174">
        <v>0</v>
      </c>
      <c r="G167" s="193" t="s">
        <v>572</v>
      </c>
      <c r="H167" s="194">
        <f>Tablica_A!U95</f>
        <v>9.66</v>
      </c>
      <c r="I167" s="193" t="s">
        <v>391</v>
      </c>
    </row>
    <row r="168" spans="1:9" ht="12.75" hidden="1">
      <c r="A168" s="194">
        <v>0</v>
      </c>
      <c r="B168" s="194">
        <v>0</v>
      </c>
      <c r="C168" s="194">
        <v>0</v>
      </c>
      <c r="D168" s="194">
        <v>0</v>
      </c>
      <c r="E168" s="194">
        <v>0</v>
      </c>
      <c r="F168" s="174">
        <v>0</v>
      </c>
      <c r="G168" s="193" t="s">
        <v>563</v>
      </c>
      <c r="H168" s="194">
        <f>Tablica_A!U97</f>
        <v>9.34</v>
      </c>
      <c r="I168" s="193" t="s">
        <v>391</v>
      </c>
    </row>
    <row r="169" spans="1:9" ht="12.75" hidden="1">
      <c r="A169" s="194">
        <v>0</v>
      </c>
      <c r="B169" s="194">
        <v>0</v>
      </c>
      <c r="C169" s="194">
        <v>0</v>
      </c>
      <c r="D169" s="194">
        <v>0</v>
      </c>
      <c r="E169" s="194">
        <v>0</v>
      </c>
      <c r="F169" s="174">
        <v>0</v>
      </c>
      <c r="G169" s="193" t="s">
        <v>564</v>
      </c>
      <c r="H169" s="194">
        <f>Tablica_A!U99</f>
        <v>9.33</v>
      </c>
      <c r="I169" s="193" t="s">
        <v>391</v>
      </c>
    </row>
    <row r="170" spans="1:9" ht="12.75" hidden="1">
      <c r="A170" s="194">
        <v>0</v>
      </c>
      <c r="B170" s="194">
        <v>0</v>
      </c>
      <c r="C170" s="194">
        <v>0</v>
      </c>
      <c r="D170" s="194">
        <v>0</v>
      </c>
      <c r="E170" s="194">
        <v>0</v>
      </c>
      <c r="F170" s="174">
        <v>0</v>
      </c>
      <c r="G170" s="193" t="s">
        <v>565</v>
      </c>
      <c r="H170" s="194">
        <f>Tablica_A!U101</f>
        <v>8.83</v>
      </c>
      <c r="I170" s="193" t="s">
        <v>391</v>
      </c>
    </row>
    <row r="171" spans="1:9" ht="12.75" hidden="1">
      <c r="A171" s="194">
        <v>0</v>
      </c>
      <c r="B171" s="194">
        <v>0</v>
      </c>
      <c r="C171" s="194">
        <v>0</v>
      </c>
      <c r="D171" s="194">
        <v>0</v>
      </c>
      <c r="E171" s="194">
        <v>0</v>
      </c>
      <c r="F171" s="174">
        <v>0</v>
      </c>
      <c r="G171" s="193" t="s">
        <v>566</v>
      </c>
      <c r="H171" s="194">
        <f>Tablica_A!U103</f>
        <v>8.16</v>
      </c>
      <c r="I171" s="193" t="s">
        <v>391</v>
      </c>
    </row>
    <row r="172" spans="1:9" ht="12.75" hidden="1">
      <c r="A172" s="194">
        <v>0</v>
      </c>
      <c r="B172" s="194">
        <v>0</v>
      </c>
      <c r="C172" s="194">
        <v>0</v>
      </c>
      <c r="D172" s="194">
        <v>0</v>
      </c>
      <c r="E172" s="194">
        <v>0</v>
      </c>
      <c r="F172" s="174">
        <v>0</v>
      </c>
      <c r="G172" s="193" t="s">
        <v>567</v>
      </c>
      <c r="H172" s="194">
        <f>Tablica_A!U105</f>
        <v>5.64</v>
      </c>
      <c r="I172" s="193" t="s">
        <v>391</v>
      </c>
    </row>
    <row r="173" spans="1:9" ht="12.75" hidden="1">
      <c r="A173" s="194">
        <v>0</v>
      </c>
      <c r="B173" s="194">
        <v>0</v>
      </c>
      <c r="C173" s="194">
        <v>0</v>
      </c>
      <c r="D173" s="194">
        <v>0</v>
      </c>
      <c r="E173" s="194">
        <v>0</v>
      </c>
      <c r="F173" s="174">
        <v>0</v>
      </c>
      <c r="G173" s="193" t="s">
        <v>568</v>
      </c>
      <c r="H173" s="194">
        <f>Tablica_A!U107</f>
        <v>5.64</v>
      </c>
      <c r="I173" s="193" t="s">
        <v>391</v>
      </c>
    </row>
    <row r="174" spans="1:9" ht="12.75" hidden="1">
      <c r="A174" s="194">
        <v>0</v>
      </c>
      <c r="B174" s="194">
        <v>0</v>
      </c>
      <c r="C174" s="194">
        <v>0</v>
      </c>
      <c r="D174" s="194">
        <v>0</v>
      </c>
      <c r="E174" s="194">
        <v>0</v>
      </c>
      <c r="F174" s="174">
        <v>0</v>
      </c>
      <c r="G174" s="193" t="s">
        <v>569</v>
      </c>
      <c r="H174" s="194">
        <f>Tablica_A!U109</f>
        <v>5.64</v>
      </c>
      <c r="I174" s="193" t="s">
        <v>391</v>
      </c>
    </row>
    <row r="175" spans="1:9" ht="12.75" hidden="1">
      <c r="A175" s="194">
        <v>0</v>
      </c>
      <c r="B175" s="194">
        <v>0</v>
      </c>
      <c r="C175" s="194">
        <v>0</v>
      </c>
      <c r="D175" s="194">
        <v>0</v>
      </c>
      <c r="E175" s="194">
        <v>0</v>
      </c>
      <c r="F175" s="174">
        <v>0</v>
      </c>
      <c r="G175" s="193" t="s">
        <v>570</v>
      </c>
      <c r="H175" s="194">
        <f>Tablica_A!U111</f>
        <v>5.64</v>
      </c>
      <c r="I175" s="193" t="s">
        <v>391</v>
      </c>
    </row>
    <row r="176" spans="1:9" ht="12.75" hidden="1">
      <c r="A176" s="194">
        <v>0</v>
      </c>
      <c r="B176" s="194">
        <v>0</v>
      </c>
      <c r="C176" s="194">
        <v>0</v>
      </c>
      <c r="D176" s="194">
        <v>0</v>
      </c>
      <c r="E176" s="194">
        <v>0</v>
      </c>
      <c r="F176" s="174">
        <v>0</v>
      </c>
      <c r="G176" s="193" t="s">
        <v>571</v>
      </c>
      <c r="H176" s="194">
        <f>Tablica_A!U113</f>
        <v>4.59</v>
      </c>
      <c r="I176" s="193" t="s">
        <v>391</v>
      </c>
    </row>
    <row r="177" spans="1:9" ht="12.75" hidden="1">
      <c r="A177" s="194">
        <v>0</v>
      </c>
      <c r="B177" s="194">
        <v>0</v>
      </c>
      <c r="C177" s="194">
        <v>0</v>
      </c>
      <c r="D177" s="194">
        <v>0</v>
      </c>
      <c r="E177" s="194">
        <v>0</v>
      </c>
      <c r="F177" s="174">
        <v>0</v>
      </c>
      <c r="G177" s="193" t="s">
        <v>573</v>
      </c>
      <c r="H177" s="194">
        <f>Tablica_A!U115</f>
        <v>0.64</v>
      </c>
      <c r="I177" s="193" t="s">
        <v>391</v>
      </c>
    </row>
    <row r="178" spans="1:9" ht="12.75" hidden="1">
      <c r="A178" s="194">
        <v>0</v>
      </c>
      <c r="B178" s="194">
        <v>0</v>
      </c>
      <c r="C178" s="194">
        <v>0</v>
      </c>
      <c r="D178" s="194">
        <v>0</v>
      </c>
      <c r="E178" s="194">
        <v>0</v>
      </c>
      <c r="F178" s="174">
        <v>0</v>
      </c>
      <c r="G178" s="193" t="s">
        <v>520</v>
      </c>
      <c r="H178" s="194">
        <f>Tablica_A!G115</f>
        <v>168304800</v>
      </c>
      <c r="I178" s="193" t="s">
        <v>391</v>
      </c>
    </row>
    <row r="179" spans="1:9" ht="12.75" hidden="1">
      <c r="A179" s="194">
        <v>0</v>
      </c>
      <c r="B179" s="194">
        <v>0</v>
      </c>
      <c r="C179" s="194">
        <v>0</v>
      </c>
      <c r="D179" s="194">
        <v>0</v>
      </c>
      <c r="E179" s="194">
        <v>0</v>
      </c>
      <c r="F179" s="174">
        <v>0</v>
      </c>
      <c r="G179" s="193" t="s">
        <v>575</v>
      </c>
      <c r="H179" s="194">
        <f aca="true" t="shared" si="6" ref="H179:H187">IF(LEN(I179)&gt;1,LEN(I179),0)</f>
        <v>2</v>
      </c>
      <c r="I179" s="193" t="str">
        <f>IF(Tablica_A!C121&lt;&gt;"",Tablica_A!C121,"-")</f>
        <v>IA</v>
      </c>
    </row>
    <row r="180" spans="1:9" ht="12.75" hidden="1">
      <c r="A180" s="194">
        <v>0</v>
      </c>
      <c r="B180" s="194">
        <v>0</v>
      </c>
      <c r="C180" s="194">
        <v>0</v>
      </c>
      <c r="D180" s="194">
        <v>0</v>
      </c>
      <c r="E180" s="194">
        <v>0</v>
      </c>
      <c r="F180" s="174">
        <v>0</v>
      </c>
      <c r="G180" s="193" t="s">
        <v>576</v>
      </c>
      <c r="H180" s="194">
        <f t="shared" si="6"/>
        <v>3</v>
      </c>
      <c r="I180" s="193" t="str">
        <f>IF(Tablica_A!C123&lt;&gt;"",Tablica_A!C123,"-")</f>
        <v>IIA</v>
      </c>
    </row>
    <row r="181" spans="1:9" ht="12.75" hidden="1">
      <c r="A181" s="194">
        <v>0</v>
      </c>
      <c r="B181" s="194">
        <v>0</v>
      </c>
      <c r="C181" s="194">
        <v>0</v>
      </c>
      <c r="D181" s="194">
        <v>0</v>
      </c>
      <c r="E181" s="194">
        <v>0</v>
      </c>
      <c r="F181" s="174">
        <v>0</v>
      </c>
      <c r="G181" s="193" t="s">
        <v>577</v>
      </c>
      <c r="H181" s="194">
        <f t="shared" si="6"/>
        <v>3</v>
      </c>
      <c r="I181" s="193" t="str">
        <f>IF(Tablica_A!C125&lt;&gt;"",Tablica_A!C125,"-")</f>
        <v>IIB</v>
      </c>
    </row>
    <row r="182" spans="1:9" ht="12.75" hidden="1">
      <c r="A182" s="194">
        <v>0</v>
      </c>
      <c r="B182" s="194">
        <v>0</v>
      </c>
      <c r="C182" s="194">
        <v>0</v>
      </c>
      <c r="D182" s="194">
        <v>0</v>
      </c>
      <c r="E182" s="194">
        <v>0</v>
      </c>
      <c r="F182" s="174">
        <v>0</v>
      </c>
      <c r="G182" s="193" t="s">
        <v>578</v>
      </c>
      <c r="H182" s="194">
        <f t="shared" si="6"/>
        <v>3</v>
      </c>
      <c r="I182" s="193" t="str">
        <f>IF(Tablica_A!C127&lt;&gt;"",Tablica_A!C127,"-")</f>
        <v>III</v>
      </c>
    </row>
    <row r="183" spans="1:9" ht="12.75" hidden="1">
      <c r="A183" s="194">
        <v>0</v>
      </c>
      <c r="B183" s="194">
        <v>0</v>
      </c>
      <c r="C183" s="194">
        <v>0</v>
      </c>
      <c r="D183" s="194">
        <v>0</v>
      </c>
      <c r="E183" s="194">
        <v>0</v>
      </c>
      <c r="F183" s="174">
        <v>0</v>
      </c>
      <c r="G183" s="193" t="s">
        <v>579</v>
      </c>
      <c r="H183" s="194">
        <f t="shared" si="6"/>
        <v>2</v>
      </c>
      <c r="I183" s="193" t="str">
        <f>IF(Tablica_A!C129&lt;&gt;"",Tablica_A!C129,"-")</f>
        <v>IV</v>
      </c>
    </row>
    <row r="184" spans="1:9" ht="12.75" hidden="1">
      <c r="A184" s="194">
        <v>0</v>
      </c>
      <c r="B184" s="194">
        <v>0</v>
      </c>
      <c r="C184" s="194">
        <v>0</v>
      </c>
      <c r="D184" s="194">
        <v>0</v>
      </c>
      <c r="E184" s="194">
        <v>0</v>
      </c>
      <c r="F184" s="174">
        <v>0</v>
      </c>
      <c r="G184" s="193" t="s">
        <v>580</v>
      </c>
      <c r="H184" s="194">
        <f t="shared" si="6"/>
        <v>0</v>
      </c>
      <c r="I184" s="193" t="str">
        <f>IF(Tablica_A!C131&lt;&gt;"",Tablica_A!C131,"-")</f>
        <v>V</v>
      </c>
    </row>
    <row r="185" spans="1:9" ht="12.75" hidden="1">
      <c r="A185" s="194">
        <v>0</v>
      </c>
      <c r="B185" s="194">
        <v>0</v>
      </c>
      <c r="C185" s="194">
        <v>0</v>
      </c>
      <c r="D185" s="194">
        <v>0</v>
      </c>
      <c r="E185" s="194">
        <v>0</v>
      </c>
      <c r="F185" s="174">
        <v>0</v>
      </c>
      <c r="G185" s="193" t="s">
        <v>581</v>
      </c>
      <c r="H185" s="194">
        <f t="shared" si="6"/>
        <v>0</v>
      </c>
      <c r="I185" s="193" t="str">
        <f>IF(Tablica_A!C133&lt;&gt;"",Tablica_A!C133,"-")</f>
        <v>-</v>
      </c>
    </row>
    <row r="186" spans="1:9" ht="12.75" hidden="1">
      <c r="A186" s="194">
        <v>0</v>
      </c>
      <c r="B186" s="194">
        <v>0</v>
      </c>
      <c r="C186" s="194">
        <v>0</v>
      </c>
      <c r="D186" s="194">
        <v>0</v>
      </c>
      <c r="E186" s="194">
        <v>0</v>
      </c>
      <c r="F186" s="174">
        <v>0</v>
      </c>
      <c r="G186" s="193" t="s">
        <v>582</v>
      </c>
      <c r="H186" s="194">
        <f t="shared" si="6"/>
        <v>0</v>
      </c>
      <c r="I186" s="193" t="str">
        <f>IF(Tablica_A!C135&lt;&gt;"",Tablica_A!C135,"-")</f>
        <v>-</v>
      </c>
    </row>
    <row r="187" spans="1:9" ht="12.75" hidden="1">
      <c r="A187" s="194">
        <v>0</v>
      </c>
      <c r="B187" s="194">
        <v>0</v>
      </c>
      <c r="C187" s="194">
        <v>0</v>
      </c>
      <c r="D187" s="194">
        <v>0</v>
      </c>
      <c r="E187" s="194">
        <v>0</v>
      </c>
      <c r="F187" s="174">
        <v>0</v>
      </c>
      <c r="G187" s="193" t="s">
        <v>583</v>
      </c>
      <c r="H187" s="194">
        <f t="shared" si="6"/>
        <v>0</v>
      </c>
      <c r="I187" s="193" t="str">
        <f>IF(Tablica_A!C137&lt;&gt;"",Tablica_A!C137,"-")</f>
        <v>-</v>
      </c>
    </row>
    <row r="188" spans="1:9" ht="12.75" hidden="1">
      <c r="A188" s="194">
        <v>0</v>
      </c>
      <c r="B188" s="194">
        <v>0</v>
      </c>
      <c r="C188" s="194">
        <v>0</v>
      </c>
      <c r="D188" s="194">
        <v>0</v>
      </c>
      <c r="E188" s="194">
        <v>0</v>
      </c>
      <c r="F188" s="174">
        <v>0</v>
      </c>
      <c r="G188" s="193" t="s">
        <v>584</v>
      </c>
      <c r="H188" s="194">
        <f>Tablica_A!K121</f>
        <v>107256</v>
      </c>
      <c r="I188" s="193" t="s">
        <v>391</v>
      </c>
    </row>
    <row r="189" spans="1:9" ht="12.75" hidden="1">
      <c r="A189" s="194">
        <v>0</v>
      </c>
      <c r="B189" s="194">
        <v>0</v>
      </c>
      <c r="C189" s="194">
        <v>0</v>
      </c>
      <c r="D189" s="194">
        <v>0</v>
      </c>
      <c r="E189" s="194">
        <v>0</v>
      </c>
      <c r="F189" s="174">
        <v>0</v>
      </c>
      <c r="G189" s="193" t="s">
        <v>585</v>
      </c>
      <c r="H189" s="194">
        <f>Tablica_A!K123</f>
        <v>40000</v>
      </c>
      <c r="I189" s="193" t="s">
        <v>391</v>
      </c>
    </row>
    <row r="190" spans="1:9" ht="12.75" hidden="1">
      <c r="A190" s="194">
        <v>0</v>
      </c>
      <c r="B190" s="194">
        <v>0</v>
      </c>
      <c r="C190" s="194">
        <v>0</v>
      </c>
      <c r="D190" s="194">
        <v>0</v>
      </c>
      <c r="E190" s="194">
        <v>0</v>
      </c>
      <c r="F190" s="174">
        <v>0</v>
      </c>
      <c r="G190" s="193" t="s">
        <v>586</v>
      </c>
      <c r="H190" s="194">
        <f>Tablica_A!K125</f>
        <v>10000</v>
      </c>
      <c r="I190" s="193" t="s">
        <v>391</v>
      </c>
    </row>
    <row r="191" spans="1:9" ht="12.75" hidden="1">
      <c r="A191" s="194">
        <v>0</v>
      </c>
      <c r="B191" s="194">
        <v>0</v>
      </c>
      <c r="C191" s="194">
        <v>0</v>
      </c>
      <c r="D191" s="194">
        <v>0</v>
      </c>
      <c r="E191" s="194">
        <v>0</v>
      </c>
      <c r="F191" s="174">
        <v>0</v>
      </c>
      <c r="G191" s="193" t="s">
        <v>587</v>
      </c>
      <c r="H191" s="194">
        <f>Tablica_A!K127</f>
        <v>3125</v>
      </c>
      <c r="I191" s="193" t="s">
        <v>391</v>
      </c>
    </row>
    <row r="192" spans="1:9" ht="12.75" hidden="1">
      <c r="A192" s="194">
        <v>0</v>
      </c>
      <c r="B192" s="194">
        <v>0</v>
      </c>
      <c r="C192" s="194">
        <v>0</v>
      </c>
      <c r="D192" s="194">
        <v>0</v>
      </c>
      <c r="E192" s="194">
        <v>0</v>
      </c>
      <c r="F192" s="174">
        <v>0</v>
      </c>
      <c r="G192" s="193" t="s">
        <v>588</v>
      </c>
      <c r="H192" s="194">
        <f>Tablica_A!K129</f>
        <v>160381</v>
      </c>
      <c r="I192" s="193" t="s">
        <v>391</v>
      </c>
    </row>
    <row r="193" spans="1:9" ht="12.75" hidden="1">
      <c r="A193" s="194">
        <v>0</v>
      </c>
      <c r="B193" s="194">
        <v>0</v>
      </c>
      <c r="C193" s="194">
        <v>0</v>
      </c>
      <c r="D193" s="194">
        <v>0</v>
      </c>
      <c r="E193" s="194">
        <v>0</v>
      </c>
      <c r="F193" s="174">
        <v>0</v>
      </c>
      <c r="G193" s="193" t="s">
        <v>589</v>
      </c>
      <c r="H193" s="194">
        <f>Tablica_A!K131</f>
        <v>100000</v>
      </c>
      <c r="I193" s="193" t="s">
        <v>391</v>
      </c>
    </row>
    <row r="194" spans="1:9" ht="12.75" hidden="1">
      <c r="A194" s="194">
        <v>0</v>
      </c>
      <c r="B194" s="194">
        <v>0</v>
      </c>
      <c r="C194" s="194">
        <v>0</v>
      </c>
      <c r="D194" s="194">
        <v>0</v>
      </c>
      <c r="E194" s="194">
        <v>0</v>
      </c>
      <c r="F194" s="174">
        <v>0</v>
      </c>
      <c r="G194" s="193" t="s">
        <v>590</v>
      </c>
      <c r="H194" s="194">
        <f>Tablica_A!K133</f>
        <v>0</v>
      </c>
      <c r="I194" s="193" t="s">
        <v>391</v>
      </c>
    </row>
    <row r="195" spans="1:9" ht="12.75" hidden="1">
      <c r="A195" s="194">
        <v>0</v>
      </c>
      <c r="B195" s="194">
        <v>0</v>
      </c>
      <c r="C195" s="194">
        <v>0</v>
      </c>
      <c r="D195" s="194">
        <v>0</v>
      </c>
      <c r="E195" s="194">
        <v>0</v>
      </c>
      <c r="F195" s="174">
        <v>0</v>
      </c>
      <c r="G195" s="193" t="s">
        <v>591</v>
      </c>
      <c r="H195" s="194">
        <f>Tablica_A!K135</f>
        <v>0</v>
      </c>
      <c r="I195" s="193" t="s">
        <v>391</v>
      </c>
    </row>
    <row r="196" spans="1:9" ht="12.75" hidden="1">
      <c r="A196" s="194">
        <v>0</v>
      </c>
      <c r="B196" s="194">
        <v>0</v>
      </c>
      <c r="C196" s="194">
        <v>0</v>
      </c>
      <c r="D196" s="194">
        <v>0</v>
      </c>
      <c r="E196" s="194">
        <v>0</v>
      </c>
      <c r="F196" s="174">
        <v>0</v>
      </c>
      <c r="G196" s="193" t="s">
        <v>592</v>
      </c>
      <c r="H196" s="194">
        <f>Tablica_A!K137</f>
        <v>0</v>
      </c>
      <c r="I196" s="193" t="s">
        <v>391</v>
      </c>
    </row>
    <row r="197" spans="1:9" ht="12.75" hidden="1">
      <c r="A197" s="194">
        <v>0</v>
      </c>
      <c r="B197" s="194">
        <v>0</v>
      </c>
      <c r="C197" s="194">
        <v>0</v>
      </c>
      <c r="D197" s="194">
        <v>0</v>
      </c>
      <c r="E197" s="194">
        <v>0</v>
      </c>
      <c r="F197" s="174">
        <v>0</v>
      </c>
      <c r="G197" s="193" t="s">
        <v>593</v>
      </c>
      <c r="H197" s="194">
        <f>Tablica_A!G121</f>
        <v>400</v>
      </c>
      <c r="I197" s="193" t="s">
        <v>391</v>
      </c>
    </row>
    <row r="198" spans="1:9" ht="12.75" hidden="1">
      <c r="A198" s="194">
        <v>0</v>
      </c>
      <c r="B198" s="194">
        <v>0</v>
      </c>
      <c r="C198" s="194">
        <v>0</v>
      </c>
      <c r="D198" s="194">
        <v>0</v>
      </c>
      <c r="E198" s="194">
        <v>0</v>
      </c>
      <c r="F198" s="174">
        <v>0</v>
      </c>
      <c r="G198" s="193" t="s">
        <v>594</v>
      </c>
      <c r="H198" s="194">
        <f>Tablica_A!G123</f>
        <v>400</v>
      </c>
      <c r="I198" s="193" t="s">
        <v>391</v>
      </c>
    </row>
    <row r="199" spans="1:9" ht="12.75" hidden="1">
      <c r="A199" s="194">
        <v>0</v>
      </c>
      <c r="B199" s="194">
        <v>0</v>
      </c>
      <c r="C199" s="194">
        <v>0</v>
      </c>
      <c r="D199" s="194">
        <v>0</v>
      </c>
      <c r="E199" s="194">
        <v>0</v>
      </c>
      <c r="F199" s="174">
        <v>0</v>
      </c>
      <c r="G199" s="193" t="s">
        <v>595</v>
      </c>
      <c r="H199" s="194">
        <f>Tablica_A!G125</f>
        <v>400</v>
      </c>
      <c r="I199" s="193" t="s">
        <v>391</v>
      </c>
    </row>
    <row r="200" spans="1:9" ht="12.75" hidden="1">
      <c r="A200" s="194">
        <v>0</v>
      </c>
      <c r="B200" s="194">
        <v>0</v>
      </c>
      <c r="C200" s="194">
        <v>0</v>
      </c>
      <c r="D200" s="194">
        <v>0</v>
      </c>
      <c r="E200" s="194">
        <v>0</v>
      </c>
      <c r="F200" s="174">
        <v>0</v>
      </c>
      <c r="G200" s="193" t="s">
        <v>596</v>
      </c>
      <c r="H200" s="194">
        <f>Tablica_A!G127</f>
        <v>400</v>
      </c>
      <c r="I200" s="193" t="s">
        <v>391</v>
      </c>
    </row>
    <row r="201" spans="1:9" ht="12.75" hidden="1">
      <c r="A201" s="194">
        <v>0</v>
      </c>
      <c r="B201" s="194">
        <v>0</v>
      </c>
      <c r="C201" s="194">
        <v>0</v>
      </c>
      <c r="D201" s="194">
        <v>0</v>
      </c>
      <c r="E201" s="194">
        <v>0</v>
      </c>
      <c r="F201" s="174">
        <v>0</v>
      </c>
      <c r="G201" s="193" t="s">
        <v>597</v>
      </c>
      <c r="H201" s="194">
        <f>Tablica_A!G129</f>
        <v>400</v>
      </c>
      <c r="I201" s="193" t="s">
        <v>391</v>
      </c>
    </row>
    <row r="202" spans="1:9" ht="12.75" hidden="1">
      <c r="A202" s="194">
        <v>0</v>
      </c>
      <c r="B202" s="194">
        <v>0</v>
      </c>
      <c r="C202" s="194">
        <v>0</v>
      </c>
      <c r="D202" s="194">
        <v>0</v>
      </c>
      <c r="E202" s="194">
        <v>0</v>
      </c>
      <c r="F202" s="174">
        <v>0</v>
      </c>
      <c r="G202" s="193" t="s">
        <v>598</v>
      </c>
      <c r="H202" s="194">
        <f>Tablica_A!G131</f>
        <v>400</v>
      </c>
      <c r="I202" s="193" t="s">
        <v>391</v>
      </c>
    </row>
    <row r="203" spans="1:9" ht="12.75" hidden="1">
      <c r="A203" s="194">
        <v>0</v>
      </c>
      <c r="B203" s="194">
        <v>0</v>
      </c>
      <c r="C203" s="194">
        <v>0</v>
      </c>
      <c r="D203" s="194">
        <v>0</v>
      </c>
      <c r="E203" s="194">
        <v>0</v>
      </c>
      <c r="F203" s="174">
        <v>0</v>
      </c>
      <c r="G203" s="193" t="s">
        <v>599</v>
      </c>
      <c r="H203" s="194">
        <f>Tablica_A!G133</f>
        <v>0</v>
      </c>
      <c r="I203" s="193" t="s">
        <v>391</v>
      </c>
    </row>
    <row r="204" spans="1:9" ht="12.75" hidden="1">
      <c r="A204" s="194">
        <v>0</v>
      </c>
      <c r="B204" s="194">
        <v>0</v>
      </c>
      <c r="C204" s="194">
        <v>0</v>
      </c>
      <c r="D204" s="194">
        <v>0</v>
      </c>
      <c r="E204" s="194">
        <v>0</v>
      </c>
      <c r="F204" s="174">
        <v>0</v>
      </c>
      <c r="G204" s="193" t="s">
        <v>600</v>
      </c>
      <c r="H204" s="194">
        <f>Tablica_A!G135</f>
        <v>0</v>
      </c>
      <c r="I204" s="193" t="s">
        <v>391</v>
      </c>
    </row>
    <row r="205" spans="1:9" ht="12.75" hidden="1">
      <c r="A205" s="194">
        <v>0</v>
      </c>
      <c r="B205" s="194">
        <v>0</v>
      </c>
      <c r="C205" s="194">
        <v>0</v>
      </c>
      <c r="D205" s="194">
        <v>0</v>
      </c>
      <c r="E205" s="194">
        <v>0</v>
      </c>
      <c r="F205" s="174">
        <v>0</v>
      </c>
      <c r="G205" s="193" t="s">
        <v>601</v>
      </c>
      <c r="H205" s="194">
        <f>Tablica_A!G137</f>
        <v>0</v>
      </c>
      <c r="I205" s="193" t="s">
        <v>391</v>
      </c>
    </row>
    <row r="206" spans="1:9" ht="12.75" hidden="1">
      <c r="A206" s="194">
        <v>0</v>
      </c>
      <c r="B206" s="194">
        <v>0</v>
      </c>
      <c r="C206" s="194">
        <v>0</v>
      </c>
      <c r="D206" s="194">
        <v>0</v>
      </c>
      <c r="E206" s="194">
        <v>0</v>
      </c>
      <c r="F206" s="174">
        <v>0</v>
      </c>
      <c r="G206" s="196" t="s">
        <v>628</v>
      </c>
      <c r="H206" s="194">
        <f aca="true" t="shared" si="7" ref="H206:H214">IF(LEN(I206)&gt;1,LEN(I206),0)</f>
        <v>0</v>
      </c>
      <c r="I206" s="196" t="str">
        <f>IF(Tablica_A!M121&lt;&gt;"",Tablica_A!M121,"-")</f>
        <v>-</v>
      </c>
    </row>
    <row r="207" spans="1:9" ht="12.75" hidden="1">
      <c r="A207" s="194">
        <v>0</v>
      </c>
      <c r="B207" s="194">
        <v>0</v>
      </c>
      <c r="C207" s="194">
        <v>0</v>
      </c>
      <c r="D207" s="194">
        <v>0</v>
      </c>
      <c r="E207" s="194">
        <v>0</v>
      </c>
      <c r="F207" s="174">
        <v>0</v>
      </c>
      <c r="G207" s="196" t="s">
        <v>602</v>
      </c>
      <c r="H207" s="194">
        <f t="shared" si="7"/>
        <v>0</v>
      </c>
      <c r="I207" s="196" t="str">
        <f>IF(Tablica_A!M123&lt;&gt;"",Tablica_A!M123,"-")</f>
        <v>-</v>
      </c>
    </row>
    <row r="208" spans="1:9" ht="12.75" hidden="1">
      <c r="A208" s="194">
        <v>0</v>
      </c>
      <c r="B208" s="194">
        <v>0</v>
      </c>
      <c r="C208" s="194">
        <v>0</v>
      </c>
      <c r="D208" s="194">
        <v>0</v>
      </c>
      <c r="E208" s="194">
        <v>0</v>
      </c>
      <c r="F208" s="174">
        <v>0</v>
      </c>
      <c r="G208" s="196" t="s">
        <v>603</v>
      </c>
      <c r="H208" s="194">
        <f t="shared" si="7"/>
        <v>0</v>
      </c>
      <c r="I208" s="196" t="str">
        <f>IF(Tablica_A!M125&lt;&gt;"",Tablica_A!M125,"-")</f>
        <v>-</v>
      </c>
    </row>
    <row r="209" spans="1:9" ht="12.75" hidden="1">
      <c r="A209" s="194">
        <v>0</v>
      </c>
      <c r="B209" s="194">
        <v>0</v>
      </c>
      <c r="C209" s="194">
        <v>0</v>
      </c>
      <c r="D209" s="194">
        <v>0</v>
      </c>
      <c r="E209" s="194">
        <v>0</v>
      </c>
      <c r="F209" s="174">
        <v>0</v>
      </c>
      <c r="G209" s="196" t="s">
        <v>604</v>
      </c>
      <c r="H209" s="194">
        <f t="shared" si="7"/>
        <v>0</v>
      </c>
      <c r="I209" s="196" t="str">
        <f>IF(Tablica_A!M127&lt;&gt;"",Tablica_A!M127,"-")</f>
        <v>-</v>
      </c>
    </row>
    <row r="210" spans="1:9" ht="12.75" hidden="1">
      <c r="A210" s="194">
        <v>0</v>
      </c>
      <c r="B210" s="194">
        <v>0</v>
      </c>
      <c r="C210" s="194">
        <v>0</v>
      </c>
      <c r="D210" s="194">
        <v>0</v>
      </c>
      <c r="E210" s="194">
        <v>0</v>
      </c>
      <c r="F210" s="174">
        <v>0</v>
      </c>
      <c r="G210" s="196" t="s">
        <v>605</v>
      </c>
      <c r="H210" s="194">
        <f t="shared" si="7"/>
        <v>0</v>
      </c>
      <c r="I210" s="196" t="str">
        <f>IF(Tablica_A!M129&lt;&gt;"",Tablica_A!M129,"-")</f>
        <v>-</v>
      </c>
    </row>
    <row r="211" spans="1:9" ht="12.75" hidden="1">
      <c r="A211" s="194">
        <v>0</v>
      </c>
      <c r="B211" s="194">
        <v>0</v>
      </c>
      <c r="C211" s="194">
        <v>0</v>
      </c>
      <c r="D211" s="194">
        <v>0</v>
      </c>
      <c r="E211" s="194">
        <v>0</v>
      </c>
      <c r="F211" s="174">
        <v>0</v>
      </c>
      <c r="G211" s="196" t="s">
        <v>606</v>
      </c>
      <c r="H211" s="194">
        <f t="shared" si="7"/>
        <v>0</v>
      </c>
      <c r="I211" s="196" t="str">
        <f>IF(Tablica_A!M131&lt;&gt;"",Tablica_A!M131,"-")</f>
        <v>-</v>
      </c>
    </row>
    <row r="212" spans="1:9" ht="12.75" hidden="1">
      <c r="A212" s="194">
        <v>0</v>
      </c>
      <c r="B212" s="194">
        <v>0</v>
      </c>
      <c r="C212" s="194">
        <v>0</v>
      </c>
      <c r="D212" s="194">
        <v>0</v>
      </c>
      <c r="E212" s="194">
        <v>0</v>
      </c>
      <c r="F212" s="174">
        <v>0</v>
      </c>
      <c r="G212" s="196" t="s">
        <v>607</v>
      </c>
      <c r="H212" s="194">
        <f t="shared" si="7"/>
        <v>0</v>
      </c>
      <c r="I212" s="196" t="str">
        <f>IF(Tablica_A!M133&lt;&gt;"",Tablica_A!M133,"-")</f>
        <v>-</v>
      </c>
    </row>
    <row r="213" spans="1:9" ht="12.75" hidden="1">
      <c r="A213" s="194">
        <v>0</v>
      </c>
      <c r="B213" s="194">
        <v>0</v>
      </c>
      <c r="C213" s="194">
        <v>0</v>
      </c>
      <c r="D213" s="194">
        <v>0</v>
      </c>
      <c r="E213" s="194">
        <v>0</v>
      </c>
      <c r="F213" s="174">
        <v>0</v>
      </c>
      <c r="G213" s="196" t="s">
        <v>608</v>
      </c>
      <c r="H213" s="194">
        <f t="shared" si="7"/>
        <v>0</v>
      </c>
      <c r="I213" s="196" t="str">
        <f>IF(Tablica_A!M135&lt;&gt;"",Tablica_A!M135,"-")</f>
        <v>-</v>
      </c>
    </row>
    <row r="214" spans="1:9" ht="12.75" hidden="1">
      <c r="A214" s="194">
        <v>0</v>
      </c>
      <c r="B214" s="194">
        <v>0</v>
      </c>
      <c r="C214" s="194">
        <v>0</v>
      </c>
      <c r="D214" s="194">
        <v>0</v>
      </c>
      <c r="E214" s="194">
        <v>0</v>
      </c>
      <c r="F214" s="174">
        <v>0</v>
      </c>
      <c r="G214" s="196" t="s">
        <v>609</v>
      </c>
      <c r="H214" s="194">
        <f t="shared" si="7"/>
        <v>0</v>
      </c>
      <c r="I214" s="196" t="str">
        <f>IF(Tablica_A!M137&lt;&gt;"",Tablica_A!M137,"-")</f>
        <v>-</v>
      </c>
    </row>
    <row r="215" spans="1:9" ht="12.75" hidden="1">
      <c r="A215" s="194">
        <v>0</v>
      </c>
      <c r="B215" s="194">
        <v>0</v>
      </c>
      <c r="C215" s="194">
        <v>0</v>
      </c>
      <c r="D215" s="194">
        <v>0</v>
      </c>
      <c r="E215" s="194">
        <v>0</v>
      </c>
      <c r="F215" s="174">
        <v>0</v>
      </c>
      <c r="G215" s="196" t="s">
        <v>610</v>
      </c>
      <c r="H215" s="197">
        <f>Tablica_A!U121</f>
        <v>0</v>
      </c>
      <c r="I215" s="196" t="s">
        <v>391</v>
      </c>
    </row>
    <row r="216" spans="1:9" ht="12.75" hidden="1">
      <c r="A216" s="194">
        <v>0</v>
      </c>
      <c r="B216" s="194">
        <v>0</v>
      </c>
      <c r="C216" s="194">
        <v>0</v>
      </c>
      <c r="D216" s="194">
        <v>0</v>
      </c>
      <c r="E216" s="194">
        <v>0</v>
      </c>
      <c r="F216" s="174">
        <v>0</v>
      </c>
      <c r="G216" s="196" t="s">
        <v>611</v>
      </c>
      <c r="H216" s="197">
        <f>Tablica_A!U123</f>
        <v>0</v>
      </c>
      <c r="I216" s="196" t="s">
        <v>391</v>
      </c>
    </row>
    <row r="217" spans="1:9" ht="12.75" hidden="1">
      <c r="A217" s="194">
        <v>0</v>
      </c>
      <c r="B217" s="194">
        <v>0</v>
      </c>
      <c r="C217" s="194">
        <v>0</v>
      </c>
      <c r="D217" s="194">
        <v>0</v>
      </c>
      <c r="E217" s="194">
        <v>0</v>
      </c>
      <c r="F217" s="174">
        <v>0</v>
      </c>
      <c r="G217" s="196" t="s">
        <v>612</v>
      </c>
      <c r="H217" s="197">
        <f>Tablica_A!U125</f>
        <v>0</v>
      </c>
      <c r="I217" s="196" t="s">
        <v>391</v>
      </c>
    </row>
    <row r="218" spans="1:9" ht="12.75" hidden="1">
      <c r="A218" s="194">
        <v>0</v>
      </c>
      <c r="B218" s="194">
        <v>0</v>
      </c>
      <c r="C218" s="194">
        <v>0</v>
      </c>
      <c r="D218" s="194">
        <v>0</v>
      </c>
      <c r="E218" s="194">
        <v>0</v>
      </c>
      <c r="F218" s="174">
        <v>0</v>
      </c>
      <c r="G218" s="196" t="s">
        <v>613</v>
      </c>
      <c r="H218" s="197">
        <f>Tablica_A!U127</f>
        <v>0</v>
      </c>
      <c r="I218" s="196" t="s">
        <v>391</v>
      </c>
    </row>
    <row r="219" spans="1:9" ht="12.75" hidden="1">
      <c r="A219" s="194">
        <v>0</v>
      </c>
      <c r="B219" s="194">
        <v>0</v>
      </c>
      <c r="C219" s="194">
        <v>0</v>
      </c>
      <c r="D219" s="194">
        <v>0</v>
      </c>
      <c r="E219" s="194">
        <v>0</v>
      </c>
      <c r="F219" s="174">
        <v>0</v>
      </c>
      <c r="G219" s="196" t="s">
        <v>614</v>
      </c>
      <c r="H219" s="197">
        <f>Tablica_A!U129</f>
        <v>0</v>
      </c>
      <c r="I219" s="196" t="s">
        <v>391</v>
      </c>
    </row>
    <row r="220" spans="1:9" ht="12.75" hidden="1">
      <c r="A220" s="194">
        <v>0</v>
      </c>
      <c r="B220" s="194">
        <v>0</v>
      </c>
      <c r="C220" s="194">
        <v>0</v>
      </c>
      <c r="D220" s="194">
        <v>0</v>
      </c>
      <c r="E220" s="194">
        <v>0</v>
      </c>
      <c r="F220" s="174">
        <v>0</v>
      </c>
      <c r="G220" s="196" t="s">
        <v>615</v>
      </c>
      <c r="H220" s="197">
        <f>Tablica_A!U131</f>
        <v>0</v>
      </c>
      <c r="I220" s="196" t="s">
        <v>391</v>
      </c>
    </row>
    <row r="221" spans="1:9" ht="12.75" hidden="1">
      <c r="A221" s="194">
        <v>0</v>
      </c>
      <c r="B221" s="194">
        <v>0</v>
      </c>
      <c r="C221" s="194">
        <v>0</v>
      </c>
      <c r="D221" s="194">
        <v>0</v>
      </c>
      <c r="E221" s="194">
        <v>0</v>
      </c>
      <c r="F221" s="174">
        <v>0</v>
      </c>
      <c r="G221" s="196" t="s">
        <v>616</v>
      </c>
      <c r="H221" s="197">
        <f>Tablica_A!U133</f>
        <v>0</v>
      </c>
      <c r="I221" s="196" t="s">
        <v>391</v>
      </c>
    </row>
    <row r="222" spans="1:9" ht="12.75" hidden="1">
      <c r="A222" s="194">
        <v>0</v>
      </c>
      <c r="B222" s="194">
        <v>0</v>
      </c>
      <c r="C222" s="194">
        <v>0</v>
      </c>
      <c r="D222" s="194">
        <v>0</v>
      </c>
      <c r="E222" s="194">
        <v>0</v>
      </c>
      <c r="F222" s="174">
        <v>0</v>
      </c>
      <c r="G222" s="196" t="s">
        <v>617</v>
      </c>
      <c r="H222" s="197">
        <f>Tablica_A!U135</f>
        <v>0</v>
      </c>
      <c r="I222" s="196" t="s">
        <v>391</v>
      </c>
    </row>
    <row r="223" spans="1:9" ht="12.75" hidden="1">
      <c r="A223" s="194">
        <v>0</v>
      </c>
      <c r="B223" s="194">
        <v>0</v>
      </c>
      <c r="C223" s="194">
        <v>0</v>
      </c>
      <c r="D223" s="194">
        <v>0</v>
      </c>
      <c r="E223" s="194">
        <v>0</v>
      </c>
      <c r="F223" s="174">
        <v>0</v>
      </c>
      <c r="G223" s="196" t="s">
        <v>618</v>
      </c>
      <c r="H223" s="197">
        <f>Tablica_A!U137</f>
        <v>0</v>
      </c>
      <c r="I223" s="196" t="s">
        <v>391</v>
      </c>
    </row>
    <row r="224" spans="1:9" ht="12.75" hidden="1">
      <c r="A224" s="194">
        <v>0</v>
      </c>
      <c r="B224" s="194">
        <v>0</v>
      </c>
      <c r="C224" s="194">
        <v>0</v>
      </c>
      <c r="D224" s="194">
        <v>0</v>
      </c>
      <c r="E224" s="194">
        <v>0</v>
      </c>
      <c r="F224" s="174">
        <v>0</v>
      </c>
      <c r="G224" s="196" t="s">
        <v>619</v>
      </c>
      <c r="H224" s="197">
        <f>Tablica_A!Q121</f>
        <v>0</v>
      </c>
      <c r="I224" s="196" t="s">
        <v>391</v>
      </c>
    </row>
    <row r="225" spans="1:9" ht="12.75" hidden="1">
      <c r="A225" s="194">
        <v>0</v>
      </c>
      <c r="B225" s="194">
        <v>0</v>
      </c>
      <c r="C225" s="194">
        <v>0</v>
      </c>
      <c r="D225" s="194">
        <v>0</v>
      </c>
      <c r="E225" s="194">
        <v>0</v>
      </c>
      <c r="F225" s="174">
        <v>0</v>
      </c>
      <c r="G225" s="196" t="s">
        <v>620</v>
      </c>
      <c r="H225" s="197">
        <f>Tablica_A!Q123</f>
        <v>0</v>
      </c>
      <c r="I225" s="196" t="s">
        <v>391</v>
      </c>
    </row>
    <row r="226" spans="1:9" ht="12.75" hidden="1">
      <c r="A226" s="194">
        <v>0</v>
      </c>
      <c r="B226" s="194">
        <v>0</v>
      </c>
      <c r="C226" s="194">
        <v>0</v>
      </c>
      <c r="D226" s="194">
        <v>0</v>
      </c>
      <c r="E226" s="194">
        <v>0</v>
      </c>
      <c r="F226" s="174">
        <v>0</v>
      </c>
      <c r="G226" s="196" t="s">
        <v>621</v>
      </c>
      <c r="H226" s="197">
        <f>Tablica_A!Q125</f>
        <v>0</v>
      </c>
      <c r="I226" s="196" t="s">
        <v>391</v>
      </c>
    </row>
    <row r="227" spans="1:9" ht="12.75" hidden="1">
      <c r="A227" s="194">
        <v>0</v>
      </c>
      <c r="B227" s="194">
        <v>0</v>
      </c>
      <c r="C227" s="194">
        <v>0</v>
      </c>
      <c r="D227" s="194">
        <v>0</v>
      </c>
      <c r="E227" s="194">
        <v>0</v>
      </c>
      <c r="F227" s="174">
        <v>0</v>
      </c>
      <c r="G227" s="196" t="s">
        <v>622</v>
      </c>
      <c r="H227" s="197">
        <f>Tablica_A!Q127</f>
        <v>0</v>
      </c>
      <c r="I227" s="196" t="s">
        <v>391</v>
      </c>
    </row>
    <row r="228" spans="1:9" ht="12.75" hidden="1">
      <c r="A228" s="194">
        <v>0</v>
      </c>
      <c r="B228" s="194">
        <v>0</v>
      </c>
      <c r="C228" s="194">
        <v>0</v>
      </c>
      <c r="D228" s="194">
        <v>0</v>
      </c>
      <c r="E228" s="194">
        <v>0</v>
      </c>
      <c r="F228" s="174">
        <v>0</v>
      </c>
      <c r="G228" s="196" t="s">
        <v>623</v>
      </c>
      <c r="H228" s="197">
        <f>Tablica_A!Q129</f>
        <v>0</v>
      </c>
      <c r="I228" s="196" t="s">
        <v>391</v>
      </c>
    </row>
    <row r="229" spans="1:9" ht="12.75" hidden="1">
      <c r="A229" s="194">
        <v>0</v>
      </c>
      <c r="B229" s="194">
        <v>0</v>
      </c>
      <c r="C229" s="194">
        <v>0</v>
      </c>
      <c r="D229" s="194">
        <v>0</v>
      </c>
      <c r="E229" s="194">
        <v>0</v>
      </c>
      <c r="F229" s="174">
        <v>0</v>
      </c>
      <c r="G229" s="196" t="s">
        <v>624</v>
      </c>
      <c r="H229" s="197">
        <f>Tablica_A!Q131</f>
        <v>0</v>
      </c>
      <c r="I229" s="196" t="s">
        <v>391</v>
      </c>
    </row>
    <row r="230" spans="1:9" ht="12.75" hidden="1">
      <c r="A230" s="194">
        <v>0</v>
      </c>
      <c r="B230" s="194">
        <v>0</v>
      </c>
      <c r="C230" s="194">
        <v>0</v>
      </c>
      <c r="D230" s="194">
        <v>0</v>
      </c>
      <c r="E230" s="194">
        <v>0</v>
      </c>
      <c r="F230" s="174">
        <v>0</v>
      </c>
      <c r="G230" s="196" t="s">
        <v>625</v>
      </c>
      <c r="H230" s="197">
        <f>Tablica_A!Q133</f>
        <v>0</v>
      </c>
      <c r="I230" s="196" t="s">
        <v>391</v>
      </c>
    </row>
    <row r="231" spans="1:9" ht="12.75" hidden="1">
      <c r="A231" s="194">
        <v>0</v>
      </c>
      <c r="B231" s="194">
        <v>0</v>
      </c>
      <c r="C231" s="194">
        <v>0</v>
      </c>
      <c r="D231" s="194">
        <v>0</v>
      </c>
      <c r="E231" s="194">
        <v>0</v>
      </c>
      <c r="F231" s="174">
        <v>0</v>
      </c>
      <c r="G231" s="196" t="s">
        <v>626</v>
      </c>
      <c r="H231" s="197">
        <f>Tablica_A!Q135</f>
        <v>0</v>
      </c>
      <c r="I231" s="196" t="s">
        <v>391</v>
      </c>
    </row>
    <row r="232" spans="1:9" ht="12.75" hidden="1">
      <c r="A232" s="194">
        <v>0</v>
      </c>
      <c r="B232" s="194">
        <v>0</v>
      </c>
      <c r="C232" s="194">
        <v>0</v>
      </c>
      <c r="D232" s="194">
        <v>0</v>
      </c>
      <c r="E232" s="194">
        <v>0</v>
      </c>
      <c r="F232" s="174">
        <v>0</v>
      </c>
      <c r="G232" s="196" t="s">
        <v>627</v>
      </c>
      <c r="H232" s="197">
        <f>Tablica_A!Q137</f>
        <v>0</v>
      </c>
      <c r="I232" s="196" t="s">
        <v>391</v>
      </c>
    </row>
    <row r="233" spans="1:9" ht="12.75" hidden="1">
      <c r="A233" s="194">
        <v>0</v>
      </c>
      <c r="B233" s="194">
        <v>0</v>
      </c>
      <c r="C233" s="194">
        <v>0</v>
      </c>
      <c r="D233" s="194">
        <v>0</v>
      </c>
      <c r="E233" s="194">
        <v>0</v>
      </c>
      <c r="F233" s="174">
        <v>0</v>
      </c>
      <c r="G233" s="193" t="s">
        <v>711</v>
      </c>
      <c r="H233" s="194">
        <f>IF(LEN(I233)&gt;1,LEN(I233),0)</f>
        <v>12</v>
      </c>
      <c r="I233" s="196" t="str">
        <f>IF(Tablica_A!O139&lt;&gt;"",Tablica_A!O139,"-")</f>
        <v>HRPDBARA0008</v>
      </c>
    </row>
    <row r="234" spans="1:9" ht="12.75" hidden="1">
      <c r="A234" s="194">
        <v>0</v>
      </c>
      <c r="B234" s="194">
        <v>0</v>
      </c>
      <c r="C234" s="194">
        <v>0</v>
      </c>
      <c r="D234" s="194">
        <v>0</v>
      </c>
      <c r="E234" s="194">
        <v>0</v>
      </c>
      <c r="F234" s="174">
        <v>0</v>
      </c>
      <c r="G234" s="193" t="s">
        <v>712</v>
      </c>
      <c r="H234" s="194">
        <f>IF(LEN(I234)&gt;1,LEN(I234),0)</f>
        <v>0</v>
      </c>
      <c r="I234" s="196" t="str">
        <f>IF(Tablica_A!O141&lt;&gt;"",Tablica_A!O141,"-")</f>
        <v>-</v>
      </c>
    </row>
    <row r="235" spans="1:9" ht="12.75" hidden="1">
      <c r="A235" s="194">
        <v>0</v>
      </c>
      <c r="B235" s="194">
        <v>0</v>
      </c>
      <c r="C235" s="194">
        <v>0</v>
      </c>
      <c r="D235" s="194">
        <v>0</v>
      </c>
      <c r="E235" s="194">
        <v>0</v>
      </c>
      <c r="F235" s="174">
        <v>0</v>
      </c>
      <c r="G235" s="193" t="s">
        <v>629</v>
      </c>
      <c r="H235" s="194">
        <f aca="true" t="shared" si="8" ref="H235:H271">IF(LEN(I235)&gt;1,LEN(I235),0)</f>
        <v>0</v>
      </c>
      <c r="I235" s="196" t="str">
        <f>IF(Tablica_A!C146&lt;&gt;"",Tablica_A!C146,"-")</f>
        <v>-</v>
      </c>
    </row>
    <row r="236" spans="1:9" ht="12.75" hidden="1">
      <c r="A236" s="194">
        <v>0</v>
      </c>
      <c r="B236" s="194">
        <v>0</v>
      </c>
      <c r="C236" s="194">
        <v>0</v>
      </c>
      <c r="D236" s="194">
        <v>0</v>
      </c>
      <c r="E236" s="194">
        <v>0</v>
      </c>
      <c r="F236" s="174">
        <v>0</v>
      </c>
      <c r="G236" s="193" t="s">
        <v>630</v>
      </c>
      <c r="H236" s="194">
        <f t="shared" si="8"/>
        <v>0</v>
      </c>
      <c r="I236" s="196" t="str">
        <f>IF(Tablica_A!C148&lt;&gt;"",Tablica_A!C148,"-")</f>
        <v>-</v>
      </c>
    </row>
    <row r="237" spans="1:9" ht="12.75" hidden="1">
      <c r="A237" s="194">
        <v>0</v>
      </c>
      <c r="B237" s="194">
        <v>0</v>
      </c>
      <c r="C237" s="194">
        <v>0</v>
      </c>
      <c r="D237" s="194">
        <v>0</v>
      </c>
      <c r="E237" s="194">
        <v>0</v>
      </c>
      <c r="F237" s="174">
        <v>0</v>
      </c>
      <c r="G237" s="193" t="s">
        <v>631</v>
      </c>
      <c r="H237" s="194">
        <f t="shared" si="8"/>
        <v>0</v>
      </c>
      <c r="I237" s="196" t="str">
        <f>IF(Tablica_A!C150&lt;&gt;"",Tablica_A!C150,"-")</f>
        <v>-</v>
      </c>
    </row>
    <row r="238" spans="1:9" ht="12.75" hidden="1">
      <c r="A238" s="194">
        <v>0</v>
      </c>
      <c r="B238" s="194">
        <v>0</v>
      </c>
      <c r="C238" s="194">
        <v>0</v>
      </c>
      <c r="D238" s="194">
        <v>0</v>
      </c>
      <c r="E238" s="194">
        <v>0</v>
      </c>
      <c r="F238" s="174">
        <v>0</v>
      </c>
      <c r="G238" s="193" t="s">
        <v>632</v>
      </c>
      <c r="H238" s="194">
        <f t="shared" si="8"/>
        <v>0</v>
      </c>
      <c r="I238" s="196" t="str">
        <f>IF(Tablica_A!C152&lt;&gt;"",Tablica_A!C152,"-")</f>
        <v>-</v>
      </c>
    </row>
    <row r="239" spans="1:9" ht="12.75" hidden="1">
      <c r="A239" s="194">
        <v>0</v>
      </c>
      <c r="B239" s="194">
        <v>0</v>
      </c>
      <c r="C239" s="194">
        <v>0</v>
      </c>
      <c r="D239" s="194">
        <v>0</v>
      </c>
      <c r="E239" s="194">
        <v>0</v>
      </c>
      <c r="F239" s="174">
        <v>0</v>
      </c>
      <c r="G239" s="193" t="s">
        <v>633</v>
      </c>
      <c r="H239" s="194">
        <f t="shared" si="8"/>
        <v>0</v>
      </c>
      <c r="I239" s="196" t="str">
        <f>IF(Tablica_A!C154&lt;&gt;"",Tablica_A!C154,"-")</f>
        <v>-</v>
      </c>
    </row>
    <row r="240" spans="1:9" ht="12.75" hidden="1">
      <c r="A240" s="194">
        <v>0</v>
      </c>
      <c r="B240" s="194">
        <v>0</v>
      </c>
      <c r="C240" s="194">
        <v>0</v>
      </c>
      <c r="D240" s="194">
        <v>0</v>
      </c>
      <c r="E240" s="194">
        <v>0</v>
      </c>
      <c r="F240" s="174">
        <v>0</v>
      </c>
      <c r="G240" s="193" t="s">
        <v>634</v>
      </c>
      <c r="H240" s="194">
        <f t="shared" si="8"/>
        <v>0</v>
      </c>
      <c r="I240" s="196" t="str">
        <f>IF(Tablica_A!C156&lt;&gt;"",Tablica_A!C156,"-")</f>
        <v>-</v>
      </c>
    </row>
    <row r="241" spans="1:9" ht="12.75" hidden="1">
      <c r="A241" s="194">
        <v>0</v>
      </c>
      <c r="B241" s="194">
        <v>0</v>
      </c>
      <c r="C241" s="194">
        <v>0</v>
      </c>
      <c r="D241" s="194">
        <v>0</v>
      </c>
      <c r="E241" s="194">
        <v>0</v>
      </c>
      <c r="F241" s="174">
        <v>0</v>
      </c>
      <c r="G241" s="193" t="s">
        <v>640</v>
      </c>
      <c r="H241" s="194">
        <f t="shared" si="8"/>
        <v>0</v>
      </c>
      <c r="I241" s="196" t="str">
        <f>IF(Tablica_A!E146&lt;&gt;"",Tablica_A!E146,"-")</f>
        <v>-</v>
      </c>
    </row>
    <row r="242" spans="1:9" ht="12.75" hidden="1">
      <c r="A242" s="194">
        <v>0</v>
      </c>
      <c r="B242" s="194">
        <v>0</v>
      </c>
      <c r="C242" s="194">
        <v>0</v>
      </c>
      <c r="D242" s="194">
        <v>0</v>
      </c>
      <c r="E242" s="194">
        <v>0</v>
      </c>
      <c r="F242" s="174">
        <v>0</v>
      </c>
      <c r="G242" s="193" t="s">
        <v>635</v>
      </c>
      <c r="H242" s="194">
        <f t="shared" si="8"/>
        <v>0</v>
      </c>
      <c r="I242" s="196" t="str">
        <f>IF(Tablica_A!E148&lt;&gt;"",Tablica_A!E148,"-")</f>
        <v>-</v>
      </c>
    </row>
    <row r="243" spans="1:9" ht="12.75" hidden="1">
      <c r="A243" s="194">
        <v>0</v>
      </c>
      <c r="B243" s="194">
        <v>0</v>
      </c>
      <c r="C243" s="194">
        <v>0</v>
      </c>
      <c r="D243" s="194">
        <v>0</v>
      </c>
      <c r="E243" s="194">
        <v>0</v>
      </c>
      <c r="F243" s="174">
        <v>0</v>
      </c>
      <c r="G243" s="193" t="s">
        <v>636</v>
      </c>
      <c r="H243" s="194">
        <f t="shared" si="8"/>
        <v>0</v>
      </c>
      <c r="I243" s="196" t="str">
        <f>IF(Tablica_A!E150&lt;&gt;"",Tablica_A!E150,"-")</f>
        <v>-</v>
      </c>
    </row>
    <row r="244" spans="1:9" ht="12.75" hidden="1">
      <c r="A244" s="194">
        <v>0</v>
      </c>
      <c r="B244" s="194">
        <v>0</v>
      </c>
      <c r="C244" s="194">
        <v>0</v>
      </c>
      <c r="D244" s="194">
        <v>0</v>
      </c>
      <c r="E244" s="194">
        <v>0</v>
      </c>
      <c r="F244" s="174">
        <v>0</v>
      </c>
      <c r="G244" s="193" t="s">
        <v>637</v>
      </c>
      <c r="H244" s="194">
        <f t="shared" si="8"/>
        <v>0</v>
      </c>
      <c r="I244" s="196" t="str">
        <f>IF(Tablica_A!E152&lt;&gt;"",Tablica_A!E152,"-")</f>
        <v>-</v>
      </c>
    </row>
    <row r="245" spans="1:9" ht="12.75" hidden="1">
      <c r="A245" s="194">
        <v>0</v>
      </c>
      <c r="B245" s="194">
        <v>0</v>
      </c>
      <c r="C245" s="194">
        <v>0</v>
      </c>
      <c r="D245" s="194">
        <v>0</v>
      </c>
      <c r="E245" s="194">
        <v>0</v>
      </c>
      <c r="F245" s="174">
        <v>0</v>
      </c>
      <c r="G245" s="193" t="s">
        <v>638</v>
      </c>
      <c r="H245" s="194">
        <f t="shared" si="8"/>
        <v>0</v>
      </c>
      <c r="I245" s="196" t="str">
        <f>IF(Tablica_A!E154&lt;&gt;"",Tablica_A!E154,"-")</f>
        <v>-</v>
      </c>
    </row>
    <row r="246" spans="1:9" ht="12.75" hidden="1">
      <c r="A246" s="194">
        <v>0</v>
      </c>
      <c r="B246" s="194">
        <v>0</v>
      </c>
      <c r="C246" s="194">
        <v>0</v>
      </c>
      <c r="D246" s="194">
        <v>0</v>
      </c>
      <c r="E246" s="194">
        <v>0</v>
      </c>
      <c r="F246" s="174">
        <v>0</v>
      </c>
      <c r="G246" s="193" t="s">
        <v>639</v>
      </c>
      <c r="H246" s="194">
        <f t="shared" si="8"/>
        <v>0</v>
      </c>
      <c r="I246" s="196" t="str">
        <f>IF(Tablica_A!E156&lt;&gt;"",Tablica_A!E156,"-")</f>
        <v>-</v>
      </c>
    </row>
    <row r="247" spans="1:9" ht="12.75" hidden="1">
      <c r="A247" s="194">
        <v>0</v>
      </c>
      <c r="B247" s="194">
        <v>0</v>
      </c>
      <c r="C247" s="194">
        <v>0</v>
      </c>
      <c r="D247" s="194">
        <v>0</v>
      </c>
      <c r="E247" s="194">
        <v>0</v>
      </c>
      <c r="F247" s="174">
        <v>0</v>
      </c>
      <c r="G247" s="193" t="s">
        <v>646</v>
      </c>
      <c r="H247" s="194">
        <f t="shared" si="8"/>
        <v>0</v>
      </c>
      <c r="I247" s="196" t="str">
        <f>IF(Tablica_A!M146&lt;&gt;"",Tablica_A!M146,"-")</f>
        <v>-</v>
      </c>
    </row>
    <row r="248" spans="1:9" ht="12.75" hidden="1">
      <c r="A248" s="194">
        <v>0</v>
      </c>
      <c r="B248" s="194">
        <v>0</v>
      </c>
      <c r="C248" s="194">
        <v>0</v>
      </c>
      <c r="D248" s="194">
        <v>0</v>
      </c>
      <c r="E248" s="194">
        <v>0</v>
      </c>
      <c r="F248" s="174">
        <v>0</v>
      </c>
      <c r="G248" s="193" t="s">
        <v>641</v>
      </c>
      <c r="H248" s="194">
        <f t="shared" si="8"/>
        <v>0</v>
      </c>
      <c r="I248" s="196" t="str">
        <f>IF(Tablica_A!M148&lt;&gt;"",Tablica_A!M148,"-")</f>
        <v>-</v>
      </c>
    </row>
    <row r="249" spans="1:9" ht="12.75" hidden="1">
      <c r="A249" s="194">
        <v>0</v>
      </c>
      <c r="B249" s="194">
        <v>0</v>
      </c>
      <c r="C249" s="194">
        <v>0</v>
      </c>
      <c r="D249" s="194">
        <v>0</v>
      </c>
      <c r="E249" s="194">
        <v>0</v>
      </c>
      <c r="F249" s="174">
        <v>0</v>
      </c>
      <c r="G249" s="193" t="s">
        <v>642</v>
      </c>
      <c r="H249" s="194">
        <f t="shared" si="8"/>
        <v>0</v>
      </c>
      <c r="I249" s="196" t="str">
        <f>IF(Tablica_A!M150&lt;&gt;"",Tablica_A!M150,"-")</f>
        <v>-</v>
      </c>
    </row>
    <row r="250" spans="1:9" ht="12.75" hidden="1">
      <c r="A250" s="194">
        <v>0</v>
      </c>
      <c r="B250" s="194">
        <v>0</v>
      </c>
      <c r="C250" s="194">
        <v>0</v>
      </c>
      <c r="D250" s="194">
        <v>0</v>
      </c>
      <c r="E250" s="194">
        <v>0</v>
      </c>
      <c r="F250" s="174">
        <v>0</v>
      </c>
      <c r="G250" s="193" t="s">
        <v>643</v>
      </c>
      <c r="H250" s="194">
        <f t="shared" si="8"/>
        <v>0</v>
      </c>
      <c r="I250" s="196" t="str">
        <f>IF(Tablica_A!M152&lt;&gt;"",Tablica_A!M152,"-")</f>
        <v>-</v>
      </c>
    </row>
    <row r="251" spans="1:9" ht="12.75" hidden="1">
      <c r="A251" s="194">
        <v>0</v>
      </c>
      <c r="B251" s="194">
        <v>0</v>
      </c>
      <c r="C251" s="194">
        <v>0</v>
      </c>
      <c r="D251" s="194">
        <v>0</v>
      </c>
      <c r="E251" s="194">
        <v>0</v>
      </c>
      <c r="F251" s="174">
        <v>0</v>
      </c>
      <c r="G251" s="193" t="s">
        <v>644</v>
      </c>
      <c r="H251" s="194">
        <f t="shared" si="8"/>
        <v>0</v>
      </c>
      <c r="I251" s="196" t="str">
        <f>IF(Tablica_A!M154&lt;&gt;"",Tablica_A!M154,"-")</f>
        <v>-</v>
      </c>
    </row>
    <row r="252" spans="1:9" ht="12.75" hidden="1">
      <c r="A252" s="194">
        <v>0</v>
      </c>
      <c r="B252" s="194">
        <v>0</v>
      </c>
      <c r="C252" s="194">
        <v>0</v>
      </c>
      <c r="D252" s="194">
        <v>0</v>
      </c>
      <c r="E252" s="194">
        <v>0</v>
      </c>
      <c r="F252" s="174">
        <v>0</v>
      </c>
      <c r="G252" s="193" t="s">
        <v>645</v>
      </c>
      <c r="H252" s="194">
        <f t="shared" si="8"/>
        <v>0</v>
      </c>
      <c r="I252" s="196" t="str">
        <f>IF(Tablica_A!M156&lt;&gt;"",Tablica_A!M156,"-")</f>
        <v>-</v>
      </c>
    </row>
    <row r="253" spans="1:9" ht="12.75" hidden="1">
      <c r="A253" s="194">
        <v>0</v>
      </c>
      <c r="B253" s="194">
        <v>0</v>
      </c>
      <c r="C253" s="194">
        <v>0</v>
      </c>
      <c r="D253" s="194">
        <v>0</v>
      </c>
      <c r="E253" s="194">
        <v>0</v>
      </c>
      <c r="F253" s="174">
        <v>0</v>
      </c>
      <c r="G253" s="193" t="s">
        <v>652</v>
      </c>
      <c r="H253" s="194">
        <f t="shared" si="8"/>
        <v>0</v>
      </c>
      <c r="I253" s="196" t="str">
        <f>IF(Tablica_A!Q146&lt;&gt;"",Tablica_A!Q146,"-")</f>
        <v>-</v>
      </c>
    </row>
    <row r="254" spans="1:9" ht="12.75" hidden="1">
      <c r="A254" s="194">
        <v>0</v>
      </c>
      <c r="B254" s="194">
        <v>0</v>
      </c>
      <c r="C254" s="194">
        <v>0</v>
      </c>
      <c r="D254" s="194">
        <v>0</v>
      </c>
      <c r="E254" s="194">
        <v>0</v>
      </c>
      <c r="F254" s="174">
        <v>0</v>
      </c>
      <c r="G254" s="193" t="s">
        <v>647</v>
      </c>
      <c r="H254" s="194">
        <f t="shared" si="8"/>
        <v>0</v>
      </c>
      <c r="I254" s="196" t="str">
        <f>IF(Tablica_A!Q148&lt;&gt;"",Tablica_A!Q148,"-")</f>
        <v>-</v>
      </c>
    </row>
    <row r="255" spans="1:9" ht="12.75" hidden="1">
      <c r="A255" s="194">
        <v>0</v>
      </c>
      <c r="B255" s="194">
        <v>0</v>
      </c>
      <c r="C255" s="194">
        <v>0</v>
      </c>
      <c r="D255" s="194">
        <v>0</v>
      </c>
      <c r="E255" s="194">
        <v>0</v>
      </c>
      <c r="F255" s="174">
        <v>0</v>
      </c>
      <c r="G255" s="193" t="s">
        <v>648</v>
      </c>
      <c r="H255" s="194">
        <f t="shared" si="8"/>
        <v>0</v>
      </c>
      <c r="I255" s="196" t="str">
        <f>IF(Tablica_A!Q150&lt;&gt;"",Tablica_A!Q150,"-")</f>
        <v>-</v>
      </c>
    </row>
    <row r="256" spans="1:9" ht="12.75" hidden="1">
      <c r="A256" s="194">
        <v>0</v>
      </c>
      <c r="B256" s="194">
        <v>0</v>
      </c>
      <c r="C256" s="194">
        <v>0</v>
      </c>
      <c r="D256" s="194">
        <v>0</v>
      </c>
      <c r="E256" s="194">
        <v>0</v>
      </c>
      <c r="F256" s="174">
        <v>0</v>
      </c>
      <c r="G256" s="193" t="s">
        <v>649</v>
      </c>
      <c r="H256" s="194">
        <f t="shared" si="8"/>
        <v>0</v>
      </c>
      <c r="I256" s="196" t="str">
        <f>IF(Tablica_A!Q152&lt;&gt;"",Tablica_A!Q152,"-")</f>
        <v>-</v>
      </c>
    </row>
    <row r="257" spans="1:9" ht="12.75" hidden="1">
      <c r="A257" s="194">
        <v>0</v>
      </c>
      <c r="B257" s="194">
        <v>0</v>
      </c>
      <c r="C257" s="194">
        <v>0</v>
      </c>
      <c r="D257" s="194">
        <v>0</v>
      </c>
      <c r="E257" s="194">
        <v>0</v>
      </c>
      <c r="F257" s="174">
        <v>0</v>
      </c>
      <c r="G257" s="193" t="s">
        <v>650</v>
      </c>
      <c r="H257" s="194">
        <f t="shared" si="8"/>
        <v>0</v>
      </c>
      <c r="I257" s="196" t="str">
        <f>IF(Tablica_A!Q154&lt;&gt;"",Tablica_A!Q154,"-")</f>
        <v>-</v>
      </c>
    </row>
    <row r="258" spans="1:9" ht="12.75" hidden="1">
      <c r="A258" s="194">
        <v>0</v>
      </c>
      <c r="B258" s="194">
        <v>0</v>
      </c>
      <c r="C258" s="194">
        <v>0</v>
      </c>
      <c r="D258" s="194">
        <v>0</v>
      </c>
      <c r="E258" s="194">
        <v>0</v>
      </c>
      <c r="F258" s="174">
        <v>0</v>
      </c>
      <c r="G258" s="193" t="s">
        <v>651</v>
      </c>
      <c r="H258" s="194">
        <f t="shared" si="8"/>
        <v>0</v>
      </c>
      <c r="I258" s="196" t="str">
        <f>IF(Tablica_A!Q156&lt;&gt;"",Tablica_A!Q156,"-")</f>
        <v>-</v>
      </c>
    </row>
    <row r="259" spans="1:9" ht="12.75" hidden="1">
      <c r="A259" s="194">
        <v>0</v>
      </c>
      <c r="B259" s="194">
        <v>0</v>
      </c>
      <c r="C259" s="194">
        <v>0</v>
      </c>
      <c r="D259" s="194">
        <v>0</v>
      </c>
      <c r="E259" s="194">
        <v>0</v>
      </c>
      <c r="F259" s="174">
        <v>0</v>
      </c>
      <c r="G259" s="193" t="s">
        <v>653</v>
      </c>
      <c r="H259" s="194">
        <f t="shared" si="8"/>
        <v>22</v>
      </c>
      <c r="I259" s="196" t="str">
        <f>IF(Tablica_A!K158&lt;&gt;"",Tablica_A!K158,"-")</f>
        <v>DELOITTE D.O.O. ZAGREB</v>
      </c>
    </row>
    <row r="260" spans="1:9" ht="12.75" hidden="1">
      <c r="A260" s="194">
        <v>0</v>
      </c>
      <c r="B260" s="194">
        <v>0</v>
      </c>
      <c r="C260" s="194">
        <v>0</v>
      </c>
      <c r="D260" s="194">
        <v>0</v>
      </c>
      <c r="E260" s="194">
        <v>0</v>
      </c>
      <c r="F260" s="174">
        <v>0</v>
      </c>
      <c r="G260" s="193" t="s">
        <v>654</v>
      </c>
      <c r="H260" s="194">
        <f t="shared" si="8"/>
        <v>6</v>
      </c>
      <c r="I260" s="196" t="str">
        <f>IF(Tablica_A!K160&lt;&gt;"",Tablica_A!K160,"-")</f>
        <v>ZAGREB</v>
      </c>
    </row>
    <row r="261" spans="1:9" ht="12.75" hidden="1">
      <c r="A261" s="194">
        <v>0</v>
      </c>
      <c r="B261" s="194">
        <v>0</v>
      </c>
      <c r="C261" s="194">
        <v>0</v>
      </c>
      <c r="D261" s="194">
        <v>0</v>
      </c>
      <c r="E261" s="194">
        <v>0</v>
      </c>
      <c r="F261" s="174">
        <v>0</v>
      </c>
      <c r="G261" s="193" t="s">
        <v>655</v>
      </c>
      <c r="H261" s="194">
        <f t="shared" si="8"/>
        <v>13</v>
      </c>
      <c r="I261" s="196" t="str">
        <f>IF(Tablica_A!O160&lt;&gt;"",Tablica_A!O160,"-")</f>
        <v>HEINZELOVA 33</v>
      </c>
    </row>
    <row r="262" spans="1:9" ht="12.75" hidden="1">
      <c r="A262" s="194">
        <v>0</v>
      </c>
      <c r="B262" s="194">
        <v>0</v>
      </c>
      <c r="C262" s="194">
        <v>0</v>
      </c>
      <c r="D262" s="194">
        <v>0</v>
      </c>
      <c r="E262" s="194">
        <v>0</v>
      </c>
      <c r="F262" s="174">
        <v>0</v>
      </c>
      <c r="G262" s="193" t="s">
        <v>656</v>
      </c>
      <c r="H262" s="194">
        <f t="shared" si="8"/>
        <v>28</v>
      </c>
      <c r="I262" s="196" t="str">
        <f>IF(Tablica_A!C165&lt;&gt;"",Tablica_A!C165,"-")</f>
        <v>ZAGREBAČKA BURZA D.D. ZAGREB</v>
      </c>
    </row>
    <row r="263" spans="1:9" ht="12.75" hidden="1">
      <c r="A263" s="194">
        <v>0</v>
      </c>
      <c r="B263" s="194">
        <v>0</v>
      </c>
      <c r="C263" s="194">
        <v>0</v>
      </c>
      <c r="D263" s="194">
        <v>0</v>
      </c>
      <c r="E263" s="194">
        <v>0</v>
      </c>
      <c r="F263" s="174">
        <v>0</v>
      </c>
      <c r="G263" s="193" t="s">
        <v>657</v>
      </c>
      <c r="H263" s="194">
        <f t="shared" si="8"/>
        <v>0</v>
      </c>
      <c r="I263" s="196" t="str">
        <f>IF(Tablica_A!C167&lt;&gt;"",Tablica_A!C167,"-")</f>
        <v>-</v>
      </c>
    </row>
    <row r="264" spans="1:9" ht="12.75" hidden="1">
      <c r="A264" s="194">
        <v>0</v>
      </c>
      <c r="B264" s="194">
        <v>0</v>
      </c>
      <c r="C264" s="194">
        <v>0</v>
      </c>
      <c r="D264" s="194">
        <v>0</v>
      </c>
      <c r="E264" s="194">
        <v>0</v>
      </c>
      <c r="F264" s="174">
        <v>0</v>
      </c>
      <c r="G264" s="193" t="s">
        <v>658</v>
      </c>
      <c r="H264" s="194">
        <f t="shared" si="8"/>
        <v>0</v>
      </c>
      <c r="I264" s="196" t="str">
        <f>IF(Tablica_A!C169&lt;&gt;"",Tablica_A!C169,"-")</f>
        <v>-</v>
      </c>
    </row>
    <row r="265" spans="1:9" ht="12.75" hidden="1">
      <c r="A265" s="194">
        <v>0</v>
      </c>
      <c r="B265" s="194">
        <v>0</v>
      </c>
      <c r="C265" s="194">
        <v>0</v>
      </c>
      <c r="D265" s="194">
        <v>0</v>
      </c>
      <c r="E265" s="194">
        <v>0</v>
      </c>
      <c r="F265" s="174">
        <v>0</v>
      </c>
      <c r="G265" s="193" t="s">
        <v>659</v>
      </c>
      <c r="H265" s="194">
        <f t="shared" si="8"/>
        <v>0</v>
      </c>
      <c r="I265" s="196" t="str">
        <f>IF(Tablica_A!C171&lt;&gt;"",Tablica_A!C171,"-")</f>
        <v>-</v>
      </c>
    </row>
    <row r="266" spans="1:9" ht="12.75" hidden="1">
      <c r="A266" s="194">
        <v>0</v>
      </c>
      <c r="B266" s="194">
        <v>0</v>
      </c>
      <c r="C266" s="194">
        <v>0</v>
      </c>
      <c r="D266" s="194">
        <v>0</v>
      </c>
      <c r="E266" s="194">
        <v>0</v>
      </c>
      <c r="F266" s="174">
        <v>0</v>
      </c>
      <c r="G266" s="193" t="s">
        <v>660</v>
      </c>
      <c r="H266" s="194">
        <f t="shared" si="8"/>
        <v>0</v>
      </c>
      <c r="I266" s="196" t="str">
        <f>IF(Tablica_A!C173&lt;&gt;"",Tablica_A!C173,"-")</f>
        <v>-</v>
      </c>
    </row>
    <row r="267" spans="1:9" ht="12.75" hidden="1">
      <c r="A267" s="194">
        <v>0</v>
      </c>
      <c r="B267" s="194">
        <v>0</v>
      </c>
      <c r="C267" s="194">
        <v>0</v>
      </c>
      <c r="D267" s="194">
        <v>0</v>
      </c>
      <c r="E267" s="194">
        <v>0</v>
      </c>
      <c r="F267" s="174">
        <v>0</v>
      </c>
      <c r="G267" s="193" t="s">
        <v>661</v>
      </c>
      <c r="H267" s="194">
        <f t="shared" si="8"/>
        <v>12</v>
      </c>
      <c r="I267" s="196" t="str">
        <f>IF(Tablica_A!Q165&lt;&gt;"",Tablica_A!Q165,"-")</f>
        <v>KOTACIJA JDD</v>
      </c>
    </row>
    <row r="268" spans="1:9" ht="12.75" hidden="1">
      <c r="A268" s="194">
        <v>0</v>
      </c>
      <c r="B268" s="194">
        <v>0</v>
      </c>
      <c r="C268" s="194">
        <v>0</v>
      </c>
      <c r="D268" s="194">
        <v>0</v>
      </c>
      <c r="E268" s="194">
        <v>0</v>
      </c>
      <c r="F268" s="174">
        <v>0</v>
      </c>
      <c r="G268" s="193" t="s">
        <v>662</v>
      </c>
      <c r="H268" s="194">
        <f t="shared" si="8"/>
        <v>0</v>
      </c>
      <c r="I268" s="196" t="str">
        <f>IF(Tablica_A!Q167&lt;&gt;"",Tablica_A!Q167,"-")</f>
        <v>-</v>
      </c>
    </row>
    <row r="269" spans="1:9" ht="12.75" hidden="1">
      <c r="A269" s="194">
        <v>0</v>
      </c>
      <c r="B269" s="194">
        <v>0</v>
      </c>
      <c r="C269" s="194">
        <v>0</v>
      </c>
      <c r="D269" s="194">
        <v>0</v>
      </c>
      <c r="E269" s="194">
        <v>0</v>
      </c>
      <c r="F269" s="174">
        <v>0</v>
      </c>
      <c r="G269" s="193" t="s">
        <v>663</v>
      </c>
      <c r="H269" s="194">
        <f t="shared" si="8"/>
        <v>0</v>
      </c>
      <c r="I269" s="196" t="str">
        <f>IF(Tablica_A!Q169&lt;&gt;"",Tablica_A!Q169,"-")</f>
        <v>-</v>
      </c>
    </row>
    <row r="270" spans="1:9" ht="12.75" hidden="1">
      <c r="A270" s="194">
        <v>0</v>
      </c>
      <c r="B270" s="194">
        <v>0</v>
      </c>
      <c r="C270" s="194">
        <v>0</v>
      </c>
      <c r="D270" s="194">
        <v>0</v>
      </c>
      <c r="E270" s="194">
        <v>0</v>
      </c>
      <c r="F270" s="174">
        <v>0</v>
      </c>
      <c r="G270" s="193" t="s">
        <v>664</v>
      </c>
      <c r="H270" s="194">
        <f t="shared" si="8"/>
        <v>0</v>
      </c>
      <c r="I270" s="196" t="str">
        <f>IF(Tablica_A!Q171&lt;&gt;"",Tablica_A!Q171,"-")</f>
        <v>-</v>
      </c>
    </row>
    <row r="271" spans="1:9" ht="12.75" hidden="1">
      <c r="A271" s="194">
        <v>0</v>
      </c>
      <c r="B271" s="194">
        <v>0</v>
      </c>
      <c r="C271" s="194">
        <v>0</v>
      </c>
      <c r="D271" s="194">
        <v>0</v>
      </c>
      <c r="E271" s="194">
        <v>0</v>
      </c>
      <c r="F271" s="174">
        <v>0</v>
      </c>
      <c r="G271" s="193" t="s">
        <v>665</v>
      </c>
      <c r="H271" s="194">
        <f t="shared" si="8"/>
        <v>0</v>
      </c>
      <c r="I271" s="196" t="str">
        <f>IF(Tablica_A!Q173&lt;&gt;"",Tablica_A!Q173,"-")</f>
        <v>-</v>
      </c>
    </row>
    <row r="272" spans="1:9" ht="12.75" hidden="1">
      <c r="A272" s="194">
        <v>0</v>
      </c>
      <c r="B272" s="194">
        <v>0</v>
      </c>
      <c r="C272" s="194">
        <v>0</v>
      </c>
      <c r="D272" s="194">
        <v>0</v>
      </c>
      <c r="E272" s="194">
        <v>0</v>
      </c>
      <c r="F272" s="174">
        <v>0</v>
      </c>
      <c r="G272" s="193" t="s">
        <v>666</v>
      </c>
      <c r="H272" s="194">
        <f>Tablica_A!K185</f>
        <v>2332.41</v>
      </c>
      <c r="I272" s="193" t="s">
        <v>391</v>
      </c>
    </row>
    <row r="273" spans="1:9" ht="12.75" hidden="1">
      <c r="A273" s="194">
        <v>0</v>
      </c>
      <c r="B273" s="194">
        <v>0</v>
      </c>
      <c r="C273" s="194">
        <v>0</v>
      </c>
      <c r="D273" s="194">
        <v>0</v>
      </c>
      <c r="E273" s="194">
        <v>0</v>
      </c>
      <c r="F273" s="174">
        <v>0</v>
      </c>
      <c r="G273" s="193" t="s">
        <v>667</v>
      </c>
      <c r="H273" s="194">
        <f>Tablica_A!G185</f>
        <v>2052.5</v>
      </c>
      <c r="I273" s="193" t="s">
        <v>391</v>
      </c>
    </row>
    <row r="274" spans="1:9" ht="12.75" hidden="1">
      <c r="A274" s="194">
        <v>0</v>
      </c>
      <c r="B274" s="194">
        <v>0</v>
      </c>
      <c r="C274" s="194">
        <v>0</v>
      </c>
      <c r="D274" s="194">
        <v>0</v>
      </c>
      <c r="E274" s="194">
        <v>0</v>
      </c>
      <c r="F274" s="174">
        <v>0</v>
      </c>
      <c r="G274" s="193" t="s">
        <v>668</v>
      </c>
      <c r="H274" s="194">
        <f>Tablica_A!S185</f>
        <v>0</v>
      </c>
      <c r="I274" s="193" t="s">
        <v>391</v>
      </c>
    </row>
    <row r="275" spans="1:9" ht="12.75" hidden="1">
      <c r="A275" s="194">
        <v>0</v>
      </c>
      <c r="B275" s="194">
        <v>0</v>
      </c>
      <c r="C275" s="194">
        <v>0</v>
      </c>
      <c r="D275" s="194">
        <v>0</v>
      </c>
      <c r="E275" s="194">
        <v>0</v>
      </c>
      <c r="F275" s="174">
        <v>0</v>
      </c>
      <c r="G275" s="193" t="s">
        <v>669</v>
      </c>
      <c r="H275" s="194">
        <f>Tablica_A!O185</f>
        <v>0</v>
      </c>
      <c r="I275" s="193" t="s">
        <v>391</v>
      </c>
    </row>
    <row r="276" spans="1:9" ht="12.75" hidden="1">
      <c r="A276" s="194">
        <v>0</v>
      </c>
      <c r="B276" s="194">
        <v>0</v>
      </c>
      <c r="C276" s="194">
        <v>0</v>
      </c>
      <c r="D276" s="194">
        <v>0</v>
      </c>
      <c r="E276" s="194">
        <v>0</v>
      </c>
      <c r="F276" s="174">
        <v>0</v>
      </c>
      <c r="G276" s="193" t="s">
        <v>670</v>
      </c>
      <c r="H276" s="194">
        <f>Tablica_A!K183</f>
        <v>2299.9</v>
      </c>
      <c r="I276" s="193" t="s">
        <v>391</v>
      </c>
    </row>
    <row r="277" spans="1:9" ht="12.75" hidden="1">
      <c r="A277" s="194">
        <v>0</v>
      </c>
      <c r="B277" s="194">
        <v>0</v>
      </c>
      <c r="C277" s="194">
        <v>0</v>
      </c>
      <c r="D277" s="194">
        <v>0</v>
      </c>
      <c r="E277" s="194">
        <v>0</v>
      </c>
      <c r="F277" s="174">
        <v>0</v>
      </c>
      <c r="G277" s="193" t="s">
        <v>671</v>
      </c>
      <c r="H277" s="194">
        <f>Tablica_A!G183</f>
        <v>1926</v>
      </c>
      <c r="I277" s="193" t="s">
        <v>391</v>
      </c>
    </row>
    <row r="278" spans="1:9" ht="12.75" hidden="1">
      <c r="A278" s="194">
        <v>0</v>
      </c>
      <c r="B278" s="194">
        <v>0</v>
      </c>
      <c r="C278" s="194">
        <v>0</v>
      </c>
      <c r="D278" s="194">
        <v>0</v>
      </c>
      <c r="E278" s="194">
        <v>0</v>
      </c>
      <c r="F278" s="174">
        <v>0</v>
      </c>
      <c r="G278" s="193" t="s">
        <v>672</v>
      </c>
      <c r="H278" s="194">
        <f>Tablica_A!S183</f>
        <v>0</v>
      </c>
      <c r="I278" s="193" t="s">
        <v>391</v>
      </c>
    </row>
    <row r="279" spans="1:9" ht="12.75" hidden="1">
      <c r="A279" s="194">
        <v>0</v>
      </c>
      <c r="B279" s="194">
        <v>0</v>
      </c>
      <c r="C279" s="194">
        <v>0</v>
      </c>
      <c r="D279" s="194">
        <v>0</v>
      </c>
      <c r="E279" s="194">
        <v>0</v>
      </c>
      <c r="F279" s="174">
        <v>0</v>
      </c>
      <c r="G279" s="193" t="s">
        <v>673</v>
      </c>
      <c r="H279" s="194">
        <f>Tablica_A!O183</f>
        <v>0</v>
      </c>
      <c r="I279" s="193" t="s">
        <v>391</v>
      </c>
    </row>
    <row r="280" spans="1:9" ht="12.75" hidden="1">
      <c r="A280" s="194">
        <v>0</v>
      </c>
      <c r="B280" s="194">
        <v>0</v>
      </c>
      <c r="C280" s="194">
        <v>0</v>
      </c>
      <c r="D280" s="194">
        <v>0</v>
      </c>
      <c r="E280" s="194">
        <v>0</v>
      </c>
      <c r="F280" s="174">
        <v>0</v>
      </c>
      <c r="G280" s="193" t="s">
        <v>674</v>
      </c>
      <c r="H280" s="194">
        <f>Tablica_A!O191</f>
        <v>14.25</v>
      </c>
      <c r="I280" s="193" t="s">
        <v>391</v>
      </c>
    </row>
    <row r="281" spans="1:9" ht="12.75" hidden="1">
      <c r="A281" s="194">
        <v>0</v>
      </c>
      <c r="B281" s="194">
        <v>0</v>
      </c>
      <c r="C281" s="194">
        <v>0</v>
      </c>
      <c r="D281" s="194">
        <v>0</v>
      </c>
      <c r="E281" s="194">
        <v>0</v>
      </c>
      <c r="F281" s="174">
        <v>0</v>
      </c>
      <c r="G281" s="193" t="s">
        <v>675</v>
      </c>
      <c r="H281" s="194">
        <f>Tablica_A!S191</f>
        <v>32.07</v>
      </c>
      <c r="I281" s="193" t="s">
        <v>391</v>
      </c>
    </row>
    <row r="282" spans="1:9" ht="12.75" hidden="1">
      <c r="A282" s="194">
        <v>0</v>
      </c>
      <c r="B282" s="194">
        <v>0</v>
      </c>
      <c r="C282" s="194">
        <v>0</v>
      </c>
      <c r="D282" s="194">
        <v>0</v>
      </c>
      <c r="E282" s="194">
        <v>0</v>
      </c>
      <c r="F282" s="174">
        <v>0</v>
      </c>
      <c r="G282" s="193" t="s">
        <v>677</v>
      </c>
      <c r="H282" s="194">
        <f>Tablica_A!G191</f>
        <v>10.8</v>
      </c>
      <c r="I282" s="193" t="s">
        <v>391</v>
      </c>
    </row>
    <row r="283" spans="1:9" ht="12.75" hidden="1">
      <c r="A283" s="194">
        <v>0</v>
      </c>
      <c r="B283" s="194">
        <v>0</v>
      </c>
      <c r="C283" s="194">
        <v>0</v>
      </c>
      <c r="D283" s="194">
        <v>0</v>
      </c>
      <c r="E283" s="194">
        <v>0</v>
      </c>
      <c r="F283" s="174">
        <v>0</v>
      </c>
      <c r="G283" s="193" t="s">
        <v>676</v>
      </c>
      <c r="H283" s="194">
        <f>Tablica_A!K191</f>
        <v>44.47</v>
      </c>
      <c r="I283" s="193" t="s">
        <v>391</v>
      </c>
    </row>
    <row r="284" spans="1:9" ht="12.75" hidden="1">
      <c r="A284" s="194">
        <v>0</v>
      </c>
      <c r="B284" s="194">
        <v>0</v>
      </c>
      <c r="C284" s="194">
        <v>0</v>
      </c>
      <c r="D284" s="194">
        <v>0</v>
      </c>
      <c r="E284" s="194">
        <v>0</v>
      </c>
      <c r="F284" s="174">
        <v>0</v>
      </c>
      <c r="G284" s="193" t="s">
        <v>678</v>
      </c>
      <c r="H284" s="194">
        <f>Tablica_A!S193</f>
        <v>865507</v>
      </c>
      <c r="I284" s="193" t="s">
        <v>391</v>
      </c>
    </row>
    <row r="285" spans="1:9" ht="12.75" hidden="1">
      <c r="A285" s="194">
        <v>0</v>
      </c>
      <c r="B285" s="194">
        <v>0</v>
      </c>
      <c r="C285" s="194">
        <v>0</v>
      </c>
      <c r="D285" s="194">
        <v>0</v>
      </c>
      <c r="E285" s="194">
        <v>0</v>
      </c>
      <c r="F285" s="174">
        <v>0</v>
      </c>
      <c r="G285" s="193" t="s">
        <v>679</v>
      </c>
      <c r="H285" s="194">
        <f>Tablica_A!K198</f>
        <v>0</v>
      </c>
      <c r="I285" s="193" t="s">
        <v>391</v>
      </c>
    </row>
    <row r="286" spans="1:9" ht="12.75" hidden="1">
      <c r="A286" s="194">
        <v>0</v>
      </c>
      <c r="B286" s="194">
        <v>0</v>
      </c>
      <c r="C286" s="194">
        <v>0</v>
      </c>
      <c r="D286" s="194">
        <v>0</v>
      </c>
      <c r="E286" s="194">
        <v>0</v>
      </c>
      <c r="F286" s="174">
        <v>0</v>
      </c>
      <c r="G286" s="193" t="s">
        <v>680</v>
      </c>
      <c r="H286" s="194">
        <f>Tablica_A!O198</f>
        <v>0</v>
      </c>
      <c r="I286" s="193" t="s">
        <v>391</v>
      </c>
    </row>
    <row r="287" spans="1:9" ht="12.75" hidden="1">
      <c r="A287" s="194">
        <v>0</v>
      </c>
      <c r="B287" s="194">
        <v>0</v>
      </c>
      <c r="C287" s="194">
        <v>0</v>
      </c>
      <c r="D287" s="194">
        <v>0</v>
      </c>
      <c r="E287" s="194">
        <v>0</v>
      </c>
      <c r="F287" s="174">
        <v>0</v>
      </c>
      <c r="G287" s="193" t="s">
        <v>681</v>
      </c>
      <c r="H287" s="194">
        <f>Tablica_A!S198</f>
        <v>0</v>
      </c>
      <c r="I287" s="193" t="s">
        <v>391</v>
      </c>
    </row>
    <row r="288" spans="1:9" ht="12.75" hidden="1">
      <c r="A288" s="194">
        <v>0</v>
      </c>
      <c r="B288" s="194">
        <v>0</v>
      </c>
      <c r="C288" s="194">
        <v>0</v>
      </c>
      <c r="D288" s="194">
        <v>0</v>
      </c>
      <c r="E288" s="194">
        <v>0</v>
      </c>
      <c r="F288" s="174">
        <v>0</v>
      </c>
      <c r="G288" s="193" t="s">
        <v>682</v>
      </c>
      <c r="H288" s="194">
        <f>Tablica_A!K200</f>
        <v>0</v>
      </c>
      <c r="I288" s="193" t="s">
        <v>391</v>
      </c>
    </row>
    <row r="289" spans="1:9" ht="12.75" hidden="1">
      <c r="A289" s="194">
        <v>0</v>
      </c>
      <c r="B289" s="194">
        <v>0</v>
      </c>
      <c r="C289" s="194">
        <v>0</v>
      </c>
      <c r="D289" s="194">
        <v>0</v>
      </c>
      <c r="E289" s="194">
        <v>0</v>
      </c>
      <c r="F289" s="174">
        <v>0</v>
      </c>
      <c r="G289" s="193" t="s">
        <v>683</v>
      </c>
      <c r="H289" s="194">
        <f>Tablica_A!O200</f>
        <v>0</v>
      </c>
      <c r="I289" s="193" t="s">
        <v>391</v>
      </c>
    </row>
    <row r="290" spans="1:9" ht="12.75" hidden="1">
      <c r="A290" s="194">
        <v>0</v>
      </c>
      <c r="B290" s="194">
        <v>0</v>
      </c>
      <c r="C290" s="194">
        <v>0</v>
      </c>
      <c r="D290" s="194">
        <v>0</v>
      </c>
      <c r="E290" s="194">
        <v>0</v>
      </c>
      <c r="F290" s="174">
        <v>0</v>
      </c>
      <c r="G290" s="193" t="s">
        <v>684</v>
      </c>
      <c r="H290" s="194">
        <f>Tablica_A!S200</f>
        <v>0</v>
      </c>
      <c r="I290" s="193" t="s">
        <v>391</v>
      </c>
    </row>
    <row r="291" spans="1:9" ht="12.75" hidden="1">
      <c r="A291" s="194">
        <v>0</v>
      </c>
      <c r="B291" s="194">
        <v>0</v>
      </c>
      <c r="C291" s="194">
        <v>0</v>
      </c>
      <c r="D291" s="194">
        <v>0</v>
      </c>
      <c r="E291" s="194">
        <v>0</v>
      </c>
      <c r="F291" s="174">
        <v>0</v>
      </c>
      <c r="G291" s="193" t="s">
        <v>688</v>
      </c>
      <c r="H291" s="194">
        <f aca="true" t="shared" si="9" ref="H291:H322">IF(LEN(I291)&gt;1,LEN(I291),0)</f>
        <v>15</v>
      </c>
      <c r="I291" s="196" t="str">
        <f>IF(RefStr!C45&lt;&gt;"",RefStr!C45,"-")</f>
        <v>Marijana Horvat</v>
      </c>
    </row>
    <row r="292" spans="1:9" ht="12.75" hidden="1">
      <c r="A292" s="194">
        <v>0</v>
      </c>
      <c r="B292" s="194">
        <v>0</v>
      </c>
      <c r="C292" s="194">
        <v>0</v>
      </c>
      <c r="D292" s="194">
        <v>0</v>
      </c>
      <c r="E292" s="194">
        <v>0</v>
      </c>
      <c r="F292" s="174">
        <v>0</v>
      </c>
      <c r="G292" s="193" t="s">
        <v>689</v>
      </c>
      <c r="H292" s="194">
        <f t="shared" si="9"/>
        <v>11</v>
      </c>
      <c r="I292" s="193" t="str">
        <f>IF(RefStr!C47&lt;&gt;"",RefStr!C47,"-")</f>
        <v>Vesna Laloš</v>
      </c>
    </row>
    <row r="293" spans="1:9" ht="12.75" hidden="1">
      <c r="A293" s="194">
        <v>0</v>
      </c>
      <c r="B293" s="194">
        <v>0</v>
      </c>
      <c r="C293" s="194">
        <v>0</v>
      </c>
      <c r="D293" s="194">
        <v>0</v>
      </c>
      <c r="E293" s="194">
        <v>0</v>
      </c>
      <c r="F293" s="174">
        <v>0</v>
      </c>
      <c r="G293" s="193" t="s">
        <v>690</v>
      </c>
      <c r="H293" s="194">
        <f t="shared" si="9"/>
        <v>0</v>
      </c>
      <c r="I293" s="193" t="str">
        <f>IF(RefStr!C49&lt;&gt;"",RefStr!C49,"-")</f>
        <v>-</v>
      </c>
    </row>
    <row r="294" spans="1:9" ht="12.75" hidden="1">
      <c r="A294" s="194">
        <v>0</v>
      </c>
      <c r="B294" s="194">
        <v>0</v>
      </c>
      <c r="C294" s="194">
        <v>0</v>
      </c>
      <c r="D294" s="194">
        <v>0</v>
      </c>
      <c r="E294" s="194">
        <v>0</v>
      </c>
      <c r="F294" s="174">
        <v>0</v>
      </c>
      <c r="G294" s="193" t="s">
        <v>685</v>
      </c>
      <c r="H294" s="194">
        <f t="shared" si="9"/>
        <v>9</v>
      </c>
      <c r="I294" s="193" t="str">
        <f>IF(RefStr!K45&lt;&gt;"",RefStr!K45,"-")</f>
        <v>048655157</v>
      </c>
    </row>
    <row r="295" spans="1:9" ht="12.75" hidden="1">
      <c r="A295" s="194">
        <v>0</v>
      </c>
      <c r="B295" s="194">
        <v>0</v>
      </c>
      <c r="C295" s="194">
        <v>0</v>
      </c>
      <c r="D295" s="194">
        <v>0</v>
      </c>
      <c r="E295" s="194">
        <v>0</v>
      </c>
      <c r="F295" s="174">
        <v>0</v>
      </c>
      <c r="G295" s="193" t="s">
        <v>686</v>
      </c>
      <c r="H295" s="194">
        <f t="shared" si="9"/>
        <v>9</v>
      </c>
      <c r="I295" s="193" t="str">
        <f>IF(RefStr!K47&lt;&gt;"",RefStr!K47,"-")</f>
        <v>048655117</v>
      </c>
    </row>
    <row r="296" spans="1:9" ht="12.75" hidden="1">
      <c r="A296" s="194">
        <v>0</v>
      </c>
      <c r="B296" s="194">
        <v>0</v>
      </c>
      <c r="C296" s="194">
        <v>0</v>
      </c>
      <c r="D296" s="194">
        <v>0</v>
      </c>
      <c r="E296" s="194">
        <v>0</v>
      </c>
      <c r="F296" s="174">
        <v>0</v>
      </c>
      <c r="G296" s="193" t="s">
        <v>687</v>
      </c>
      <c r="H296" s="194">
        <f t="shared" si="9"/>
        <v>0</v>
      </c>
      <c r="I296" s="193" t="str">
        <f>IF(RefStr!K49&lt;&gt;"",RefStr!K49,"-")</f>
        <v>-</v>
      </c>
    </row>
    <row r="297" spans="1:9" ht="12.75" hidden="1">
      <c r="A297" s="194">
        <v>0</v>
      </c>
      <c r="B297" s="194">
        <v>0</v>
      </c>
      <c r="C297" s="194">
        <v>0</v>
      </c>
      <c r="D297" s="194">
        <v>0</v>
      </c>
      <c r="E297" s="194">
        <v>0</v>
      </c>
      <c r="F297" s="174">
        <v>0</v>
      </c>
      <c r="G297" s="193" t="s">
        <v>695</v>
      </c>
      <c r="H297" s="194">
        <f t="shared" si="9"/>
        <v>50</v>
      </c>
      <c r="I297" s="193" t="str">
        <f>IF(LEN(Tablica_F!A8)&gt;1,MID(Tablica_F!A8,1,250),"-")</f>
        <v>U promatranom razdoblju nije bilo podjele dionica.</v>
      </c>
    </row>
    <row r="298" spans="1:9" ht="12.75" hidden="1">
      <c r="A298" s="194">
        <v>0</v>
      </c>
      <c r="B298" s="194">
        <v>0</v>
      </c>
      <c r="C298" s="194">
        <v>0</v>
      </c>
      <c r="D298" s="194">
        <v>0</v>
      </c>
      <c r="E298" s="194">
        <v>0</v>
      </c>
      <c r="F298" s="174">
        <v>0</v>
      </c>
      <c r="G298" s="193" t="s">
        <v>696</v>
      </c>
      <c r="H298" s="194">
        <f t="shared" si="9"/>
        <v>0</v>
      </c>
      <c r="I298" s="193" t="str">
        <f>IF(LEN(Tablica_F!A8)&gt;250,MID(Tablica_F!A8,251,250),"-")</f>
        <v>-</v>
      </c>
    </row>
    <row r="299" spans="1:9" ht="12.75" hidden="1">
      <c r="A299" s="194">
        <v>0</v>
      </c>
      <c r="B299" s="194">
        <v>0</v>
      </c>
      <c r="C299" s="194">
        <v>0</v>
      </c>
      <c r="D299" s="194">
        <v>0</v>
      </c>
      <c r="E299" s="194">
        <v>0</v>
      </c>
      <c r="F299" s="174">
        <v>0</v>
      </c>
      <c r="G299" s="193" t="s">
        <v>697</v>
      </c>
      <c r="H299" s="194">
        <f t="shared" si="9"/>
        <v>0</v>
      </c>
      <c r="I299" s="193" t="str">
        <f>IF(LEN(Tablica_F!A8)&gt;500,MID(Tablica_F!A8,501,250),"-")</f>
        <v>-</v>
      </c>
    </row>
    <row r="300" spans="1:9" ht="12.75" hidden="1">
      <c r="A300" s="194">
        <v>0</v>
      </c>
      <c r="B300" s="194">
        <v>0</v>
      </c>
      <c r="C300" s="194">
        <v>0</v>
      </c>
      <c r="D300" s="194">
        <v>0</v>
      </c>
      <c r="E300" s="194">
        <v>0</v>
      </c>
      <c r="F300" s="174">
        <v>0</v>
      </c>
      <c r="G300" s="193" t="s">
        <v>698</v>
      </c>
      <c r="H300" s="194">
        <f t="shared" si="9"/>
        <v>0</v>
      </c>
      <c r="I300" s="193" t="str">
        <f>IF(LEN(Tablica_F!A8)&gt;750,MID(Tablica_F!A8,751,250),"-")</f>
        <v>-</v>
      </c>
    </row>
    <row r="301" spans="1:9" ht="12.75" hidden="1">
      <c r="A301" s="194">
        <v>0</v>
      </c>
      <c r="B301" s="194">
        <v>0</v>
      </c>
      <c r="C301" s="194">
        <v>0</v>
      </c>
      <c r="D301" s="194">
        <v>0</v>
      </c>
      <c r="E301" s="194">
        <v>0</v>
      </c>
      <c r="F301" s="174">
        <v>0</v>
      </c>
      <c r="G301" s="193" t="s">
        <v>719</v>
      </c>
      <c r="H301" s="194">
        <f t="shared" si="9"/>
        <v>69</v>
      </c>
      <c r="I301" s="193" t="str">
        <f>IF(LEN(Tablica_F!A10)&gt;1,MID(Tablica_F!A10,1,250),"-")</f>
        <v>Zarada po dionici u prvom polugodište 2007. godine iznosi 32,07 kune.</v>
      </c>
    </row>
    <row r="302" spans="1:9" ht="12.75" hidden="1">
      <c r="A302" s="194">
        <v>0</v>
      </c>
      <c r="B302" s="194">
        <v>0</v>
      </c>
      <c r="C302" s="194">
        <v>0</v>
      </c>
      <c r="D302" s="194">
        <v>0</v>
      </c>
      <c r="E302" s="194">
        <v>0</v>
      </c>
      <c r="F302" s="174">
        <v>0</v>
      </c>
      <c r="G302" s="193" t="s">
        <v>716</v>
      </c>
      <c r="H302" s="194">
        <f t="shared" si="9"/>
        <v>0</v>
      </c>
      <c r="I302" s="193" t="str">
        <f>IF(LEN(Tablica_F!A10)&gt;250,MID(Tablica_F!A10,251,250),"-")</f>
        <v>-</v>
      </c>
    </row>
    <row r="303" spans="1:9" ht="12.75" hidden="1">
      <c r="A303" s="194">
        <v>0</v>
      </c>
      <c r="B303" s="194">
        <v>0</v>
      </c>
      <c r="C303" s="194">
        <v>0</v>
      </c>
      <c r="D303" s="194">
        <v>0</v>
      </c>
      <c r="E303" s="194">
        <v>0</v>
      </c>
      <c r="F303" s="174">
        <v>0</v>
      </c>
      <c r="G303" s="193" t="s">
        <v>717</v>
      </c>
      <c r="H303" s="194">
        <f t="shared" si="9"/>
        <v>0</v>
      </c>
      <c r="I303" s="193" t="str">
        <f>IF(LEN(Tablica_F!A10)&gt;500,MID(Tablica_F!A10,501,250),"-")</f>
        <v>-</v>
      </c>
    </row>
    <row r="304" spans="1:9" ht="12.75" hidden="1">
      <c r="A304" s="194">
        <v>0</v>
      </c>
      <c r="B304" s="194">
        <v>0</v>
      </c>
      <c r="C304" s="194">
        <v>0</v>
      </c>
      <c r="D304" s="194">
        <v>0</v>
      </c>
      <c r="E304" s="194">
        <v>0</v>
      </c>
      <c r="F304" s="174">
        <v>0</v>
      </c>
      <c r="G304" s="193" t="s">
        <v>718</v>
      </c>
      <c r="H304" s="194">
        <f t="shared" si="9"/>
        <v>0</v>
      </c>
      <c r="I304" s="193" t="str">
        <f>IF(LEN(Tablica_F!A10)&gt;750,MID(Tablica_F!A10,751,250),"-")</f>
        <v>-</v>
      </c>
    </row>
    <row r="305" spans="1:9" ht="12.75" hidden="1">
      <c r="A305" s="194">
        <v>0</v>
      </c>
      <c r="B305" s="194">
        <v>0</v>
      </c>
      <c r="C305" s="194">
        <v>0</v>
      </c>
      <c r="D305" s="194">
        <v>0</v>
      </c>
      <c r="E305" s="194">
        <v>0</v>
      </c>
      <c r="F305" s="174">
        <v>0</v>
      </c>
      <c r="G305" s="193" t="s">
        <v>723</v>
      </c>
      <c r="H305" s="194">
        <f t="shared" si="9"/>
        <v>75</v>
      </c>
      <c r="I305" s="193" t="str">
        <f>IF(LEN(Tablica_F!A12)&gt;1,MID(Tablica_F!A12,1,250),"-")</f>
        <v>U promatranom razdoblju nije bilo bitnih promjena u vlasničkoj strukturi.  </v>
      </c>
    </row>
    <row r="306" spans="1:9" ht="12.75" hidden="1">
      <c r="A306" s="194">
        <v>0</v>
      </c>
      <c r="B306" s="194">
        <v>0</v>
      </c>
      <c r="C306" s="194">
        <v>0</v>
      </c>
      <c r="D306" s="194">
        <v>0</v>
      </c>
      <c r="E306" s="194">
        <v>0</v>
      </c>
      <c r="F306" s="174">
        <v>0</v>
      </c>
      <c r="G306" s="193" t="s">
        <v>720</v>
      </c>
      <c r="H306" s="194">
        <f t="shared" si="9"/>
        <v>0</v>
      </c>
      <c r="I306" s="193" t="str">
        <f>IF(LEN(Tablica_F!A12)&gt;250,MID(Tablica_F!A12,251,250),"-")</f>
        <v>-</v>
      </c>
    </row>
    <row r="307" spans="1:9" ht="12.75" hidden="1">
      <c r="A307" s="194">
        <v>0</v>
      </c>
      <c r="B307" s="194">
        <v>0</v>
      </c>
      <c r="C307" s="194">
        <v>0</v>
      </c>
      <c r="D307" s="194">
        <v>0</v>
      </c>
      <c r="E307" s="194">
        <v>0</v>
      </c>
      <c r="F307" s="174">
        <v>0</v>
      </c>
      <c r="G307" s="193" t="s">
        <v>721</v>
      </c>
      <c r="H307" s="194">
        <f t="shared" si="9"/>
        <v>0</v>
      </c>
      <c r="I307" s="193" t="str">
        <f>IF(LEN(Tablica_F!A12)&gt;500,MID(Tablica_F!A12,501,250),"-")</f>
        <v>-</v>
      </c>
    </row>
    <row r="308" spans="1:9" ht="12.75" hidden="1">
      <c r="A308" s="194">
        <v>0</v>
      </c>
      <c r="B308" s="194">
        <v>0</v>
      </c>
      <c r="C308" s="194">
        <v>0</v>
      </c>
      <c r="D308" s="194">
        <v>0</v>
      </c>
      <c r="E308" s="194">
        <v>0</v>
      </c>
      <c r="F308" s="174">
        <v>0</v>
      </c>
      <c r="G308" s="193" t="s">
        <v>722</v>
      </c>
      <c r="H308" s="194">
        <f t="shared" si="9"/>
        <v>0</v>
      </c>
      <c r="I308" s="193" t="str">
        <f>IF(LEN(Tablica_F!A12)&gt;750,MID(Tablica_F!A12,751,250),"-")</f>
        <v>-</v>
      </c>
    </row>
    <row r="309" spans="1:9" ht="12.75" hidden="1">
      <c r="A309" s="194">
        <v>0</v>
      </c>
      <c r="B309" s="194">
        <v>0</v>
      </c>
      <c r="C309" s="194">
        <v>0</v>
      </c>
      <c r="D309" s="194">
        <v>0</v>
      </c>
      <c r="E309" s="194">
        <v>0</v>
      </c>
      <c r="F309" s="174">
        <v>0</v>
      </c>
      <c r="G309" s="193" t="s">
        <v>727</v>
      </c>
      <c r="H309" s="194">
        <f t="shared" si="9"/>
        <v>57</v>
      </c>
      <c r="I309" s="193" t="str">
        <f>IF(LEN(Tablica_F!A14)&gt;1,MID(Tablica_F!A14,1,250),"-")</f>
        <v>U promatranom razdoblju nije bilo pripajanja ni spajanja.</v>
      </c>
    </row>
    <row r="310" spans="1:9" ht="12.75" hidden="1">
      <c r="A310" s="194">
        <v>0</v>
      </c>
      <c r="B310" s="194">
        <v>0</v>
      </c>
      <c r="C310" s="194">
        <v>0</v>
      </c>
      <c r="D310" s="194">
        <v>0</v>
      </c>
      <c r="E310" s="194">
        <v>0</v>
      </c>
      <c r="F310" s="174">
        <v>0</v>
      </c>
      <c r="G310" s="193" t="s">
        <v>724</v>
      </c>
      <c r="H310" s="194">
        <f t="shared" si="9"/>
        <v>0</v>
      </c>
      <c r="I310" s="193" t="str">
        <f>IF(LEN(Tablica_F!A14)&gt;250,MID(Tablica_F!A14,251,250),"-")</f>
        <v>-</v>
      </c>
    </row>
    <row r="311" spans="1:9" ht="12.75" hidden="1">
      <c r="A311" s="194">
        <v>0</v>
      </c>
      <c r="B311" s="194">
        <v>0</v>
      </c>
      <c r="C311" s="194">
        <v>0</v>
      </c>
      <c r="D311" s="194">
        <v>0</v>
      </c>
      <c r="E311" s="194">
        <v>0</v>
      </c>
      <c r="F311" s="174">
        <v>0</v>
      </c>
      <c r="G311" s="193" t="s">
        <v>725</v>
      </c>
      <c r="H311" s="194">
        <f t="shared" si="9"/>
        <v>0</v>
      </c>
      <c r="I311" s="193" t="str">
        <f>IF(LEN(Tablica_F!A14)&gt;500,MID(Tablica_F!A14,501,250),"-")</f>
        <v>-</v>
      </c>
    </row>
    <row r="312" spans="1:9" ht="12.75" hidden="1">
      <c r="A312" s="194">
        <v>0</v>
      </c>
      <c r="B312" s="194">
        <v>0</v>
      </c>
      <c r="C312" s="194">
        <v>0</v>
      </c>
      <c r="D312" s="194">
        <v>0</v>
      </c>
      <c r="E312" s="194">
        <v>0</v>
      </c>
      <c r="F312" s="174">
        <v>0</v>
      </c>
      <c r="G312" s="193" t="s">
        <v>726</v>
      </c>
      <c r="H312" s="194">
        <f t="shared" si="9"/>
        <v>0</v>
      </c>
      <c r="I312" s="193" t="str">
        <f>IF(LEN(Tablica_F!A14)&gt;750,MID(Tablica_F!A14,751,250),"-")</f>
        <v>-</v>
      </c>
    </row>
    <row r="313" spans="1:9" ht="12.75" hidden="1">
      <c r="A313" s="194">
        <v>0</v>
      </c>
      <c r="B313" s="194">
        <v>0</v>
      </c>
      <c r="C313" s="194">
        <v>0</v>
      </c>
      <c r="D313" s="194">
        <v>0</v>
      </c>
      <c r="E313" s="194">
        <v>0</v>
      </c>
      <c r="F313" s="174">
        <v>0</v>
      </c>
      <c r="G313" s="193" t="s">
        <v>730</v>
      </c>
      <c r="H313" s="194">
        <f t="shared" si="9"/>
        <v>250</v>
      </c>
      <c r="I313" s="193" t="str">
        <f>IF(LEN(Tablica_F!A16)&gt;1,MID(Tablica_F!A16,1,250),"-")</f>
        <v>Banka kontinuirano prati izloženost kreditnom riziku i procjenjuje mogućnost nastanka gubitaka radi nemogućnosti naplate pojedinih plasmana. Sukladno internim procedurama procjene rizika, za sve plasmane kod kojih postoji neizvjesnost naplate stvoren</v>
      </c>
    </row>
    <row r="314" spans="1:9" ht="12.75" hidden="1">
      <c r="A314" s="194">
        <v>0</v>
      </c>
      <c r="B314" s="194">
        <v>0</v>
      </c>
      <c r="C314" s="194">
        <v>0</v>
      </c>
      <c r="D314" s="194">
        <v>0</v>
      </c>
      <c r="E314" s="194">
        <v>0</v>
      </c>
      <c r="F314" s="174">
        <v>0</v>
      </c>
      <c r="G314" s="193" t="s">
        <v>731</v>
      </c>
      <c r="H314" s="194">
        <f t="shared" si="9"/>
        <v>78</v>
      </c>
      <c r="I314" s="193" t="str">
        <f>IF(LEN(Tablica_F!A16)&gt;250,MID(Tablica_F!A16,251,250),"-")</f>
        <v>e su primjerene rezerve u visini procijenjenog nenadoknadivog iznosa plasmana.</v>
      </c>
    </row>
    <row r="315" spans="1:9" ht="12.75" hidden="1">
      <c r="A315" s="194">
        <v>0</v>
      </c>
      <c r="B315" s="194">
        <v>0</v>
      </c>
      <c r="C315" s="194">
        <v>0</v>
      </c>
      <c r="D315" s="194">
        <v>0</v>
      </c>
      <c r="E315" s="194">
        <v>0</v>
      </c>
      <c r="F315" s="174">
        <v>0</v>
      </c>
      <c r="G315" s="193" t="s">
        <v>728</v>
      </c>
      <c r="H315" s="194">
        <f t="shared" si="9"/>
        <v>0</v>
      </c>
      <c r="I315" s="193" t="str">
        <f>IF(LEN(Tablica_F!A16)&gt;500,MID(Tablica_F!A16,501,250),"-")</f>
        <v>-</v>
      </c>
    </row>
    <row r="316" spans="1:9" ht="12.75" hidden="1">
      <c r="A316" s="194">
        <v>0</v>
      </c>
      <c r="B316" s="194">
        <v>0</v>
      </c>
      <c r="C316" s="194">
        <v>0</v>
      </c>
      <c r="D316" s="194">
        <v>0</v>
      </c>
      <c r="E316" s="194">
        <v>0</v>
      </c>
      <c r="F316" s="174">
        <v>0</v>
      </c>
      <c r="G316" s="193" t="s">
        <v>729</v>
      </c>
      <c r="H316" s="194">
        <f t="shared" si="9"/>
        <v>0</v>
      </c>
      <c r="I316" s="193" t="str">
        <f>IF(LEN(Tablica_F!A16)&gt;750,MID(Tablica_F!A16,751,250),"-")</f>
        <v>-</v>
      </c>
    </row>
    <row r="317" spans="1:9" ht="12.75" hidden="1">
      <c r="A317" s="194">
        <v>0</v>
      </c>
      <c r="B317" s="194">
        <v>0</v>
      </c>
      <c r="C317" s="194">
        <v>0</v>
      </c>
      <c r="D317" s="194">
        <v>0</v>
      </c>
      <c r="E317" s="194">
        <v>0</v>
      </c>
      <c r="F317" s="174">
        <v>0</v>
      </c>
      <c r="G317" s="193" t="s">
        <v>735</v>
      </c>
      <c r="H317" s="194">
        <f t="shared" si="9"/>
        <v>250</v>
      </c>
      <c r="I317" s="193" t="str">
        <f>IF(LEN(Tablica_F!A18)&gt;1,MID(Tablica_F!A18,1,250),"-")</f>
        <v>Na dan 30. lipnja 2007. godine bilančna imovina Banke iznosi 2,6 milijardi kuna. Imovina je povećana za 95 milijuna kuna u odnosu na kraj prethodne godine, pri čemu se najznačajnije povećanje odnosi na dane kredite. Ostvarena dobit prvog polugodišta </v>
      </c>
    </row>
    <row r="318" spans="1:9" ht="12.75" hidden="1">
      <c r="A318" s="194">
        <v>0</v>
      </c>
      <c r="B318" s="194">
        <v>0</v>
      </c>
      <c r="C318" s="194">
        <v>0</v>
      </c>
      <c r="D318" s="194">
        <v>0</v>
      </c>
      <c r="E318" s="194">
        <v>0</v>
      </c>
      <c r="F318" s="174">
        <v>0</v>
      </c>
      <c r="G318" s="193" t="s">
        <v>732</v>
      </c>
      <c r="H318" s="194">
        <f t="shared" si="9"/>
        <v>26</v>
      </c>
      <c r="I318" s="193" t="str">
        <f>IF(LEN(Tablica_F!A18)&gt;250,MID(Tablica_F!A18,251,250),"-")</f>
        <v>iznosi 13,4 milijuna kuna.</v>
      </c>
    </row>
    <row r="319" spans="1:9" ht="12.75" hidden="1">
      <c r="A319" s="194">
        <v>0</v>
      </c>
      <c r="B319" s="194">
        <v>0</v>
      </c>
      <c r="C319" s="194">
        <v>0</v>
      </c>
      <c r="D319" s="194">
        <v>0</v>
      </c>
      <c r="E319" s="194">
        <v>0</v>
      </c>
      <c r="F319" s="174">
        <v>0</v>
      </c>
      <c r="G319" s="193" t="s">
        <v>733</v>
      </c>
      <c r="H319" s="194">
        <f t="shared" si="9"/>
        <v>0</v>
      </c>
      <c r="I319" s="193" t="str">
        <f>IF(LEN(Tablica_F!A18)&gt;500,MID(Tablica_F!A18,501,250),"-")</f>
        <v>-</v>
      </c>
    </row>
    <row r="320" spans="1:9" ht="12.75" hidden="1">
      <c r="A320" s="194">
        <v>0</v>
      </c>
      <c r="B320" s="194">
        <v>0</v>
      </c>
      <c r="C320" s="194">
        <v>0</v>
      </c>
      <c r="D320" s="194">
        <v>0</v>
      </c>
      <c r="E320" s="194">
        <v>0</v>
      </c>
      <c r="F320" s="174">
        <v>0</v>
      </c>
      <c r="G320" s="193" t="s">
        <v>734</v>
      </c>
      <c r="H320" s="194">
        <f t="shared" si="9"/>
        <v>0</v>
      </c>
      <c r="I320" s="193" t="str">
        <f>IF(LEN(Tablica_F!A18)&gt;750,MID(Tablica_F!A18,751,250),"-")</f>
        <v>-</v>
      </c>
    </row>
    <row r="321" spans="1:9" ht="12.75" hidden="1">
      <c r="A321" s="194">
        <v>0</v>
      </c>
      <c r="B321" s="194">
        <v>0</v>
      </c>
      <c r="C321" s="194">
        <v>0</v>
      </c>
      <c r="D321" s="194">
        <v>0</v>
      </c>
      <c r="E321" s="194">
        <v>0</v>
      </c>
      <c r="F321" s="174">
        <v>0</v>
      </c>
      <c r="G321" s="193" t="s">
        <v>739</v>
      </c>
      <c r="H321" s="194">
        <f t="shared" si="9"/>
        <v>187</v>
      </c>
      <c r="I321" s="193" t="str">
        <f>IF(LEN(Tablica_F!A20)&gt;1,MID(Tablica_F!A20,1,250),"-")</f>
        <v>U strukturi prihoda su najznačajnija stavka kamatni prihodi, koji čine 69,3% prihoda. Prihodi od naknada čine 16,4% te ostali prihodi 14,3 % ukupno ostvarenih prihoda u prvom polugodištu.</v>
      </c>
    </row>
    <row r="322" spans="1:9" ht="12.75" hidden="1">
      <c r="A322" s="194">
        <v>0</v>
      </c>
      <c r="B322" s="194">
        <v>0</v>
      </c>
      <c r="C322" s="194">
        <v>0</v>
      </c>
      <c r="D322" s="194">
        <v>0</v>
      </c>
      <c r="E322" s="194">
        <v>0</v>
      </c>
      <c r="F322" s="174">
        <v>0</v>
      </c>
      <c r="G322" s="193" t="s">
        <v>736</v>
      </c>
      <c r="H322" s="194">
        <f t="shared" si="9"/>
        <v>0</v>
      </c>
      <c r="I322" s="193" t="str">
        <f>IF(LEN(Tablica_F!A20)&gt;250,MID(Tablica_F!A20,251,250),"-")</f>
        <v>-</v>
      </c>
    </row>
    <row r="323" spans="1:9" ht="12.75" hidden="1">
      <c r="A323" s="194">
        <v>0</v>
      </c>
      <c r="B323" s="194">
        <v>0</v>
      </c>
      <c r="C323" s="194">
        <v>0</v>
      </c>
      <c r="D323" s="194">
        <v>0</v>
      </c>
      <c r="E323" s="194">
        <v>0</v>
      </c>
      <c r="F323" s="174">
        <v>0</v>
      </c>
      <c r="G323" s="193" t="s">
        <v>737</v>
      </c>
      <c r="H323" s="194">
        <f aca="true" t="shared" si="10" ref="H323:H352">IF(LEN(I323)&gt;1,LEN(I323),0)</f>
        <v>0</v>
      </c>
      <c r="I323" s="193" t="str">
        <f>IF(LEN(Tablica_F!A20)&gt;500,MID(Tablica_F!A20,501,250),"-")</f>
        <v>-</v>
      </c>
    </row>
    <row r="324" spans="1:9" ht="12.75" hidden="1">
      <c r="A324" s="194">
        <v>0</v>
      </c>
      <c r="B324" s="194">
        <v>0</v>
      </c>
      <c r="C324" s="194">
        <v>0</v>
      </c>
      <c r="D324" s="194">
        <v>0</v>
      </c>
      <c r="E324" s="194">
        <v>0</v>
      </c>
      <c r="F324" s="174">
        <v>0</v>
      </c>
      <c r="G324" s="193" t="s">
        <v>738</v>
      </c>
      <c r="H324" s="194">
        <f t="shared" si="10"/>
        <v>0</v>
      </c>
      <c r="I324" s="193" t="str">
        <f>IF(LEN(Tablica_F!A20)&gt;750,MID(Tablica_F!A20,751,250),"-")</f>
        <v>-</v>
      </c>
    </row>
    <row r="325" spans="1:9" ht="12.75" hidden="1">
      <c r="A325" s="194">
        <v>0</v>
      </c>
      <c r="B325" s="194">
        <v>0</v>
      </c>
      <c r="C325" s="194">
        <v>0</v>
      </c>
      <c r="D325" s="194">
        <v>0</v>
      </c>
      <c r="E325" s="194">
        <v>0</v>
      </c>
      <c r="F325" s="174">
        <v>0</v>
      </c>
      <c r="G325" s="193" t="s">
        <v>743</v>
      </c>
      <c r="H325" s="194">
        <f t="shared" si="10"/>
        <v>220</v>
      </c>
      <c r="I325" s="193" t="str">
        <f>IF(LEN(Tablica_F!A22)&gt;1,MID(Tablica_F!A22,1,250),"-")</f>
        <v>Banka obavlja sve klasične bankovne poslove i druge financijske usluge. Prilagođavajući se zahtjevima i potrebama klijenata, Banka kontinuirano širi paletu proizvoda i usluga namjenjenih građanima i poslovnim subjektima.</v>
      </c>
    </row>
    <row r="326" spans="1:9" ht="12.75" hidden="1">
      <c r="A326" s="194">
        <v>0</v>
      </c>
      <c r="B326" s="194">
        <v>0</v>
      </c>
      <c r="C326" s="194">
        <v>0</v>
      </c>
      <c r="D326" s="194">
        <v>0</v>
      </c>
      <c r="E326" s="194">
        <v>0</v>
      </c>
      <c r="F326" s="174">
        <v>0</v>
      </c>
      <c r="G326" s="193" t="s">
        <v>740</v>
      </c>
      <c r="H326" s="194">
        <f t="shared" si="10"/>
        <v>0</v>
      </c>
      <c r="I326" s="193" t="str">
        <f>IF(LEN(Tablica_F!A22)&gt;250,MID(Tablica_F!A22,251,250),"-")</f>
        <v>-</v>
      </c>
    </row>
    <row r="327" spans="1:9" ht="12.75" hidden="1">
      <c r="A327" s="194">
        <v>0</v>
      </c>
      <c r="B327" s="194">
        <v>0</v>
      </c>
      <c r="C327" s="194">
        <v>0</v>
      </c>
      <c r="D327" s="194">
        <v>0</v>
      </c>
      <c r="E327" s="194">
        <v>0</v>
      </c>
      <c r="F327" s="174">
        <v>0</v>
      </c>
      <c r="G327" s="193" t="s">
        <v>741</v>
      </c>
      <c r="H327" s="194">
        <f t="shared" si="10"/>
        <v>0</v>
      </c>
      <c r="I327" s="193" t="str">
        <f>IF(LEN(Tablica_F!A22)&gt;500,MID(Tablica_F!A22,501,250),"-")</f>
        <v>-</v>
      </c>
    </row>
    <row r="328" spans="1:9" ht="12.75" hidden="1">
      <c r="A328" s="194">
        <v>0</v>
      </c>
      <c r="B328" s="194">
        <v>0</v>
      </c>
      <c r="C328" s="194">
        <v>0</v>
      </c>
      <c r="D328" s="194">
        <v>0</v>
      </c>
      <c r="E328" s="194">
        <v>0</v>
      </c>
      <c r="F328" s="174">
        <v>0</v>
      </c>
      <c r="G328" s="193" t="s">
        <v>742</v>
      </c>
      <c r="H328" s="194">
        <f t="shared" si="10"/>
        <v>0</v>
      </c>
      <c r="I328" s="193" t="str">
        <f>IF(LEN(Tablica_F!A22)&gt;750,MID(Tablica_F!A22,751,250),"-")</f>
        <v>-</v>
      </c>
    </row>
    <row r="329" spans="1:9" ht="12.75" hidden="1">
      <c r="A329" s="194">
        <v>0</v>
      </c>
      <c r="B329" s="194">
        <v>0</v>
      </c>
      <c r="C329" s="194">
        <v>0</v>
      </c>
      <c r="D329" s="194">
        <v>0</v>
      </c>
      <c r="E329" s="194">
        <v>0</v>
      </c>
      <c r="F329" s="174">
        <v>0</v>
      </c>
      <c r="G329" s="193" t="s">
        <v>747</v>
      </c>
      <c r="H329" s="194">
        <f t="shared" si="10"/>
        <v>250</v>
      </c>
      <c r="I329" s="193" t="str">
        <f>IF(LEN(Tablica_F!A24)&gt;1,MID(Tablica_F!A24,1,250),"-")</f>
        <v>Operativni i ostali troškovi redovnog poslovanja u prvom polugodištu 2007. godine iznose 58,5 milijuna kuna, što je u okviru planom predviđenih troškova. Banka redovno prati i nadzire kretanje operativnih troškova, kako na razini banke, tako i na raz</v>
      </c>
    </row>
    <row r="330" spans="1:9" ht="12.75" hidden="1">
      <c r="A330" s="194">
        <v>0</v>
      </c>
      <c r="B330" s="194">
        <v>0</v>
      </c>
      <c r="C330" s="194">
        <v>0</v>
      </c>
      <c r="D330" s="194">
        <v>0</v>
      </c>
      <c r="E330" s="194">
        <v>0</v>
      </c>
      <c r="F330" s="174">
        <v>0</v>
      </c>
      <c r="G330" s="193" t="s">
        <v>744</v>
      </c>
      <c r="H330" s="194">
        <f t="shared" si="10"/>
        <v>30</v>
      </c>
      <c r="I330" s="193" t="str">
        <f>IF(LEN(Tablica_F!A24)&gt;250,MID(Tablica_F!A24,251,250),"-")</f>
        <v>ini organizacijskih dijelova. </v>
      </c>
    </row>
    <row r="331" spans="1:9" ht="12.75" hidden="1">
      <c r="A331" s="194">
        <v>0</v>
      </c>
      <c r="B331" s="194">
        <v>0</v>
      </c>
      <c r="C331" s="194">
        <v>0</v>
      </c>
      <c r="D331" s="194">
        <v>0</v>
      </c>
      <c r="E331" s="194">
        <v>0</v>
      </c>
      <c r="F331" s="174">
        <v>0</v>
      </c>
      <c r="G331" s="193" t="s">
        <v>745</v>
      </c>
      <c r="H331" s="194">
        <f t="shared" si="10"/>
        <v>0</v>
      </c>
      <c r="I331" s="193" t="str">
        <f>IF(LEN(Tablica_F!A24)&gt;500,MID(Tablica_F!A24,501,250),"-")</f>
        <v>-</v>
      </c>
    </row>
    <row r="332" spans="1:9" ht="12.75" hidden="1">
      <c r="A332" s="194">
        <v>0</v>
      </c>
      <c r="B332" s="194">
        <v>0</v>
      </c>
      <c r="C332" s="194">
        <v>0</v>
      </c>
      <c r="D332" s="194">
        <v>0</v>
      </c>
      <c r="E332" s="194">
        <v>0</v>
      </c>
      <c r="F332" s="174">
        <v>0</v>
      </c>
      <c r="G332" s="193" t="s">
        <v>746</v>
      </c>
      <c r="H332" s="194">
        <f t="shared" si="10"/>
        <v>0</v>
      </c>
      <c r="I332" s="193" t="str">
        <f>IF(LEN(Tablica_F!A24)&gt;750,MID(Tablica_F!A24,1,751),"-")</f>
        <v>-</v>
      </c>
    </row>
    <row r="333" spans="1:9" ht="12.75" hidden="1">
      <c r="A333" s="194">
        <v>0</v>
      </c>
      <c r="B333" s="194">
        <v>0</v>
      </c>
      <c r="C333" s="194">
        <v>0</v>
      </c>
      <c r="D333" s="194">
        <v>0</v>
      </c>
      <c r="E333" s="194">
        <v>0</v>
      </c>
      <c r="F333" s="174">
        <v>0</v>
      </c>
      <c r="G333" s="193" t="s">
        <v>751</v>
      </c>
      <c r="H333" s="194">
        <f t="shared" si="10"/>
        <v>120</v>
      </c>
      <c r="I333" s="193" t="str">
        <f>IF(LEN(Tablica_F!A26)&gt;1,MID(Tablica_F!A26,1,250),"-")</f>
        <v>U prvom polugodištu 2007.godine je ostvarena dobit u iznosu 13,4 milijuna kuna, što je u okviru planiranih vrijednosti. </v>
      </c>
    </row>
    <row r="334" spans="1:9" ht="12.75" hidden="1">
      <c r="A334" s="194">
        <v>0</v>
      </c>
      <c r="B334" s="194">
        <v>0</v>
      </c>
      <c r="C334" s="194">
        <v>0</v>
      </c>
      <c r="D334" s="194">
        <v>0</v>
      </c>
      <c r="E334" s="194">
        <v>0</v>
      </c>
      <c r="F334" s="174">
        <v>0</v>
      </c>
      <c r="G334" s="193" t="s">
        <v>748</v>
      </c>
      <c r="H334" s="194">
        <f t="shared" si="10"/>
        <v>0</v>
      </c>
      <c r="I334" s="193" t="str">
        <f>IF(LEN(Tablica_F!A26)&gt;250,MID(Tablica_F!A26,251,250),"-")</f>
        <v>-</v>
      </c>
    </row>
    <row r="335" spans="1:9" ht="12.75" hidden="1">
      <c r="A335" s="194">
        <v>0</v>
      </c>
      <c r="B335" s="194">
        <v>0</v>
      </c>
      <c r="C335" s="194">
        <v>0</v>
      </c>
      <c r="D335" s="194">
        <v>0</v>
      </c>
      <c r="E335" s="194">
        <v>0</v>
      </c>
      <c r="F335" s="174">
        <v>0</v>
      </c>
      <c r="G335" s="193" t="s">
        <v>749</v>
      </c>
      <c r="H335" s="194">
        <f t="shared" si="10"/>
        <v>0</v>
      </c>
      <c r="I335" s="193" t="str">
        <f>IF(LEN(Tablica_F!A26)&gt;500,MID(Tablica_F!A26,501,250),"-")</f>
        <v>-</v>
      </c>
    </row>
    <row r="336" spans="1:9" ht="12.75" hidden="1">
      <c r="A336" s="194">
        <v>0</v>
      </c>
      <c r="B336" s="194">
        <v>0</v>
      </c>
      <c r="C336" s="194">
        <v>0</v>
      </c>
      <c r="D336" s="194">
        <v>0</v>
      </c>
      <c r="E336" s="194">
        <v>0</v>
      </c>
      <c r="F336" s="174">
        <v>0</v>
      </c>
      <c r="G336" s="193" t="s">
        <v>750</v>
      </c>
      <c r="H336" s="194">
        <f t="shared" si="10"/>
        <v>0</v>
      </c>
      <c r="I336" s="193" t="str">
        <f>IF(LEN(Tablica_F!A26)&gt;750,MID(Tablica_F!A26,751,250),"-")</f>
        <v>-</v>
      </c>
    </row>
    <row r="337" spans="1:9" ht="12.75" hidden="1">
      <c r="A337" s="194">
        <v>0</v>
      </c>
      <c r="B337" s="194">
        <v>0</v>
      </c>
      <c r="C337" s="194">
        <v>0</v>
      </c>
      <c r="D337" s="194">
        <v>0</v>
      </c>
      <c r="E337" s="194">
        <v>0</v>
      </c>
      <c r="F337" s="174">
        <v>0</v>
      </c>
      <c r="G337" s="193" t="s">
        <v>755</v>
      </c>
      <c r="H337" s="194">
        <f t="shared" si="10"/>
        <v>219</v>
      </c>
      <c r="I337" s="193" t="str">
        <f>IF(LEN(Tablica_F!A28)&gt;1,MID(Tablica_F!A28,1,250),"-")</f>
        <v>Banka održava stabilnu kunsku i deviznu likvidnoist uz ispunjavanje svih obveza prema klijentima, pridržavanje propisa monetarno-kreditne politike, te održavanje značajnog udjela visokolikvidne imovine u ukupnoj aktivi.</v>
      </c>
    </row>
    <row r="338" spans="1:9" ht="12.75" hidden="1">
      <c r="A338" s="194">
        <v>0</v>
      </c>
      <c r="B338" s="194">
        <v>0</v>
      </c>
      <c r="C338" s="194">
        <v>0</v>
      </c>
      <c r="D338" s="194">
        <v>0</v>
      </c>
      <c r="E338" s="194">
        <v>0</v>
      </c>
      <c r="F338" s="174">
        <v>0</v>
      </c>
      <c r="G338" s="193" t="s">
        <v>752</v>
      </c>
      <c r="H338" s="194">
        <f t="shared" si="10"/>
        <v>0</v>
      </c>
      <c r="I338" s="193" t="str">
        <f>IF(LEN(Tablica_F!A28)&gt;250,MID(Tablica_F!A28,251,250),"-")</f>
        <v>-</v>
      </c>
    </row>
    <row r="339" spans="1:9" ht="12.75" hidden="1">
      <c r="A339" s="194">
        <v>0</v>
      </c>
      <c r="B339" s="194">
        <v>0</v>
      </c>
      <c r="C339" s="194">
        <v>0</v>
      </c>
      <c r="D339" s="194">
        <v>0</v>
      </c>
      <c r="E339" s="194">
        <v>0</v>
      </c>
      <c r="F339" s="174">
        <v>0</v>
      </c>
      <c r="G339" s="193" t="s">
        <v>753</v>
      </c>
      <c r="H339" s="194">
        <f t="shared" si="10"/>
        <v>0</v>
      </c>
      <c r="I339" s="193" t="str">
        <f>IF(LEN(Tablica_F!A28)&gt;500,MID(Tablica_F!A28,501,250),"-")</f>
        <v>-</v>
      </c>
    </row>
    <row r="340" spans="1:9" ht="12.75" hidden="1">
      <c r="A340" s="194">
        <v>0</v>
      </c>
      <c r="B340" s="194">
        <v>0</v>
      </c>
      <c r="C340" s="194">
        <v>0</v>
      </c>
      <c r="D340" s="194">
        <v>0</v>
      </c>
      <c r="E340" s="194">
        <v>0</v>
      </c>
      <c r="F340" s="174">
        <v>0</v>
      </c>
      <c r="G340" s="193" t="s">
        <v>754</v>
      </c>
      <c r="H340" s="194">
        <f t="shared" si="10"/>
        <v>0</v>
      </c>
      <c r="I340" s="193" t="str">
        <f>IF(LEN(Tablica_F!A28)&gt;750,MID(Tablica_F!A28,751,250),"-")</f>
        <v>-</v>
      </c>
    </row>
    <row r="341" spans="1:9" ht="12.75" hidden="1">
      <c r="A341" s="194">
        <v>0</v>
      </c>
      <c r="B341" s="194">
        <v>0</v>
      </c>
      <c r="C341" s="194">
        <v>0</v>
      </c>
      <c r="D341" s="194">
        <v>0</v>
      </c>
      <c r="E341" s="194">
        <v>0</v>
      </c>
      <c r="F341" s="174">
        <v>0</v>
      </c>
      <c r="G341" s="193" t="s">
        <v>759</v>
      </c>
      <c r="H341" s="194">
        <f t="shared" si="10"/>
        <v>49</v>
      </c>
      <c r="I341" s="193" t="str">
        <f>IF(LEN(Tablica_F!A30)&gt;1,MID(Tablica_F!A30,1,250),"-")</f>
        <v>U računovodstvenim politikama nije bilo promjena.</v>
      </c>
    </row>
    <row r="342" spans="1:9" ht="12.75" hidden="1">
      <c r="A342" s="194">
        <v>0</v>
      </c>
      <c r="B342" s="194">
        <v>0</v>
      </c>
      <c r="C342" s="194">
        <v>0</v>
      </c>
      <c r="D342" s="194">
        <v>0</v>
      </c>
      <c r="E342" s="194">
        <v>0</v>
      </c>
      <c r="F342" s="174">
        <v>0</v>
      </c>
      <c r="G342" s="193" t="s">
        <v>756</v>
      </c>
      <c r="H342" s="194">
        <f t="shared" si="10"/>
        <v>0</v>
      </c>
      <c r="I342" s="193" t="str">
        <f>IF(LEN(Tablica_F!A30)&gt;250,MID(Tablica_F!A30,251,250),"-")</f>
        <v>-</v>
      </c>
    </row>
    <row r="343" spans="1:9" ht="12.75" hidden="1">
      <c r="A343" s="194">
        <v>0</v>
      </c>
      <c r="B343" s="194">
        <v>0</v>
      </c>
      <c r="C343" s="194">
        <v>0</v>
      </c>
      <c r="D343" s="194">
        <v>0</v>
      </c>
      <c r="E343" s="194">
        <v>0</v>
      </c>
      <c r="F343" s="174">
        <v>0</v>
      </c>
      <c r="G343" s="193" t="s">
        <v>757</v>
      </c>
      <c r="H343" s="194">
        <f t="shared" si="10"/>
        <v>0</v>
      </c>
      <c r="I343" s="193" t="str">
        <f>IF(LEN(Tablica_F!A30)&gt;500,MID(Tablica_F!A30,501,250),"-")</f>
        <v>-</v>
      </c>
    </row>
    <row r="344" spans="1:9" ht="12.75" hidden="1">
      <c r="A344" s="194">
        <v>0</v>
      </c>
      <c r="B344" s="194">
        <v>0</v>
      </c>
      <c r="C344" s="194">
        <v>0</v>
      </c>
      <c r="D344" s="194">
        <v>0</v>
      </c>
      <c r="E344" s="194">
        <v>0</v>
      </c>
      <c r="F344" s="174">
        <v>0</v>
      </c>
      <c r="G344" s="193" t="s">
        <v>758</v>
      </c>
      <c r="H344" s="194">
        <f t="shared" si="10"/>
        <v>0</v>
      </c>
      <c r="I344" s="193" t="str">
        <f>IF(LEN(Tablica_F!A30)&gt;750,MID(Tablica_F!A30,751,250),"-")</f>
        <v>-</v>
      </c>
    </row>
    <row r="345" spans="1:9" ht="12.75" hidden="1">
      <c r="A345" s="194">
        <v>0</v>
      </c>
      <c r="B345" s="194">
        <v>0</v>
      </c>
      <c r="C345" s="194">
        <v>0</v>
      </c>
      <c r="D345" s="194">
        <v>0</v>
      </c>
      <c r="E345" s="194">
        <v>0</v>
      </c>
      <c r="F345" s="174">
        <v>0</v>
      </c>
      <c r="G345" s="193" t="s">
        <v>763</v>
      </c>
      <c r="H345" s="194">
        <f t="shared" si="10"/>
        <v>189</v>
      </c>
      <c r="I345" s="193" t="str">
        <f>IF(LEN(Tablica_F!A32)&gt;1,MID(Tablica_F!A32,1,250),"-")</f>
        <v>Banka vodi više sudskih sporova protiv trgovačkih društava i fizičkih osoba radi naplate dospjelih potraživanja po odobrenim plasmanima. Protiv Banke se ne vode nikakovi značajniji sporovi.</v>
      </c>
    </row>
    <row r="346" spans="1:9" ht="12.75" hidden="1">
      <c r="A346" s="194">
        <v>0</v>
      </c>
      <c r="B346" s="194">
        <v>0</v>
      </c>
      <c r="C346" s="194">
        <v>0</v>
      </c>
      <c r="D346" s="194">
        <v>0</v>
      </c>
      <c r="E346" s="194">
        <v>0</v>
      </c>
      <c r="F346" s="174">
        <v>0</v>
      </c>
      <c r="G346" s="193" t="s">
        <v>760</v>
      </c>
      <c r="H346" s="194">
        <f t="shared" si="10"/>
        <v>0</v>
      </c>
      <c r="I346" s="193" t="str">
        <f>IF(LEN(Tablica_F!A32)&gt;250,MID(Tablica_F!A32,251,250),"-")</f>
        <v>-</v>
      </c>
    </row>
    <row r="347" spans="1:9" ht="12.75" hidden="1">
      <c r="A347" s="194">
        <v>0</v>
      </c>
      <c r="B347" s="194">
        <v>0</v>
      </c>
      <c r="C347" s="194">
        <v>0</v>
      </c>
      <c r="D347" s="194">
        <v>0</v>
      </c>
      <c r="E347" s="194">
        <v>0</v>
      </c>
      <c r="F347" s="174">
        <v>0</v>
      </c>
      <c r="G347" s="193" t="s">
        <v>761</v>
      </c>
      <c r="H347" s="194">
        <f t="shared" si="10"/>
        <v>0</v>
      </c>
      <c r="I347" s="193" t="str">
        <f>IF(LEN(Tablica_F!A32)&gt;500,MID(Tablica_F!A32,501,250),"-")</f>
        <v>-</v>
      </c>
    </row>
    <row r="348" spans="1:9" ht="12.75" hidden="1">
      <c r="A348" s="194">
        <v>0</v>
      </c>
      <c r="B348" s="194">
        <v>0</v>
      </c>
      <c r="C348" s="194">
        <v>0</v>
      </c>
      <c r="D348" s="194">
        <v>0</v>
      </c>
      <c r="E348" s="194">
        <v>0</v>
      </c>
      <c r="F348" s="174">
        <v>0</v>
      </c>
      <c r="G348" s="193" t="s">
        <v>762</v>
      </c>
      <c r="H348" s="194">
        <f t="shared" si="10"/>
        <v>0</v>
      </c>
      <c r="I348" s="193" t="str">
        <f>IF(LEN(Tablica_F!A32)&gt;750,MID(Tablica_F!A32,751,250),"-")</f>
        <v>-</v>
      </c>
    </row>
    <row r="349" spans="1:9" ht="12.75" hidden="1">
      <c r="A349" s="194">
        <v>0</v>
      </c>
      <c r="B349" s="194">
        <v>0</v>
      </c>
      <c r="C349" s="194">
        <v>0</v>
      </c>
      <c r="D349" s="194">
        <v>0</v>
      </c>
      <c r="E349" s="194">
        <v>0</v>
      </c>
      <c r="F349" s="174">
        <v>0</v>
      </c>
      <c r="G349" s="193" t="s">
        <v>767</v>
      </c>
      <c r="H349" s="194">
        <f t="shared" si="10"/>
        <v>104</v>
      </c>
      <c r="I349" s="193" t="str">
        <f>IF(LEN(Tablica_F!A34)&gt;1,MID(Tablica_F!A34,1,250),"-")</f>
        <v>U cilju približavanja klijentima u svim regijama Hrvatske, Banka kontinuirano širi svoju poslovnu mrežu.</v>
      </c>
    </row>
    <row r="350" spans="1:9" ht="12.75" hidden="1">
      <c r="A350" s="194">
        <v>0</v>
      </c>
      <c r="B350" s="194">
        <v>0</v>
      </c>
      <c r="C350" s="194">
        <v>0</v>
      </c>
      <c r="D350" s="194">
        <v>0</v>
      </c>
      <c r="E350" s="194">
        <v>0</v>
      </c>
      <c r="F350" s="174">
        <v>0</v>
      </c>
      <c r="G350" s="193" t="s">
        <v>764</v>
      </c>
      <c r="H350" s="194">
        <f t="shared" si="10"/>
        <v>0</v>
      </c>
      <c r="I350" s="193" t="str">
        <f>IF(LEN(Tablica_F!A34)&gt;250,MID(Tablica_F!A34,251,250),"-")</f>
        <v>-</v>
      </c>
    </row>
    <row r="351" spans="1:9" ht="12.75" hidden="1">
      <c r="A351" s="194">
        <v>0</v>
      </c>
      <c r="B351" s="194">
        <v>0</v>
      </c>
      <c r="C351" s="194">
        <v>0</v>
      </c>
      <c r="D351" s="194">
        <v>0</v>
      </c>
      <c r="E351" s="194">
        <v>0</v>
      </c>
      <c r="F351" s="174">
        <v>0</v>
      </c>
      <c r="G351" s="193" t="s">
        <v>765</v>
      </c>
      <c r="H351" s="194">
        <f t="shared" si="10"/>
        <v>0</v>
      </c>
      <c r="I351" s="193" t="str">
        <f>IF(LEN(Tablica_F!A34)&gt;500,MID(Tablica_F!A34,501,250),"-")</f>
        <v>-</v>
      </c>
    </row>
    <row r="352" spans="1:9" ht="12.75" hidden="1">
      <c r="A352" s="194">
        <v>0</v>
      </c>
      <c r="B352" s="194">
        <v>0</v>
      </c>
      <c r="C352" s="194">
        <v>0</v>
      </c>
      <c r="D352" s="194">
        <v>0</v>
      </c>
      <c r="E352" s="194">
        <v>0</v>
      </c>
      <c r="F352" s="174">
        <v>0</v>
      </c>
      <c r="G352" s="193" t="s">
        <v>766</v>
      </c>
      <c r="H352" s="194">
        <f t="shared" si="10"/>
        <v>0</v>
      </c>
      <c r="I352" s="193" t="str">
        <f>IF(LEN(Tablica_F!A34)&gt;750,MID(Tablica_F!A34,751,250),"-")</f>
        <v>-</v>
      </c>
    </row>
    <row r="353" spans="1:9" ht="12.75" hidden="1">
      <c r="A353" s="194">
        <v>0</v>
      </c>
      <c r="B353" s="194">
        <v>0</v>
      </c>
      <c r="C353" s="194">
        <v>0</v>
      </c>
      <c r="D353" s="194">
        <v>0</v>
      </c>
      <c r="E353" s="194">
        <v>0</v>
      </c>
      <c r="F353" s="174">
        <v>0</v>
      </c>
      <c r="G353" s="193" t="s">
        <v>768</v>
      </c>
      <c r="H353" s="194">
        <v>0</v>
      </c>
      <c r="I353" s="193" t="str">
        <f>IF(LEN(Tablica_F!A37)&gt;1,MID(Tablica_F!A37,1,250),"-")</f>
        <v>-</v>
      </c>
    </row>
    <row r="354" spans="1:9" ht="12.75" hidden="1">
      <c r="A354" s="194">
        <v>0</v>
      </c>
      <c r="B354" s="194">
        <v>0</v>
      </c>
      <c r="C354" s="194">
        <v>0</v>
      </c>
      <c r="D354" s="194">
        <v>0</v>
      </c>
      <c r="E354" s="194">
        <v>0</v>
      </c>
      <c r="F354" s="174">
        <v>0</v>
      </c>
      <c r="G354" s="193" t="s">
        <v>769</v>
      </c>
      <c r="H354" s="194">
        <v>0</v>
      </c>
      <c r="I354" s="193" t="str">
        <f>IF(LEN(Tablica_F!A37)&gt;250,MID(Tablica_F!A37,251,250),"-")</f>
        <v>-</v>
      </c>
    </row>
    <row r="355" spans="1:9" ht="12.75" hidden="1">
      <c r="A355" s="194">
        <v>0</v>
      </c>
      <c r="B355" s="194">
        <v>0</v>
      </c>
      <c r="C355" s="194">
        <v>0</v>
      </c>
      <c r="D355" s="194">
        <v>0</v>
      </c>
      <c r="E355" s="194">
        <v>0</v>
      </c>
      <c r="F355" s="174">
        <v>0</v>
      </c>
      <c r="G355" s="193" t="s">
        <v>770</v>
      </c>
      <c r="H355" s="194">
        <v>0</v>
      </c>
      <c r="I355" s="193" t="str">
        <f>IF(LEN(Tablica_F!A37)&gt;500,MID(Tablica_F!A37,501,250),"-")</f>
        <v>-</v>
      </c>
    </row>
    <row r="356" spans="1:9" ht="12.75" hidden="1">
      <c r="A356" s="194">
        <v>0</v>
      </c>
      <c r="B356" s="194">
        <v>0</v>
      </c>
      <c r="C356" s="194">
        <v>0</v>
      </c>
      <c r="D356" s="194">
        <v>0</v>
      </c>
      <c r="E356" s="194">
        <v>0</v>
      </c>
      <c r="F356" s="174">
        <v>0</v>
      </c>
      <c r="G356" s="193" t="s">
        <v>771</v>
      </c>
      <c r="H356" s="194">
        <v>0</v>
      </c>
      <c r="I356" s="193" t="str">
        <f>IF(LEN(Tablica_F!A37)&gt;750,MID(Tablica_F!A37,751,250),"-")</f>
        <v>-</v>
      </c>
    </row>
    <row r="357" spans="1:9" ht="12.75" hidden="1">
      <c r="A357" s="194">
        <v>0</v>
      </c>
      <c r="B357" s="194">
        <v>0</v>
      </c>
      <c r="C357" s="194">
        <v>0</v>
      </c>
      <c r="D357" s="194">
        <v>0</v>
      </c>
      <c r="E357" s="194">
        <v>0</v>
      </c>
      <c r="F357" s="174">
        <v>0</v>
      </c>
      <c r="G357" s="193" t="s">
        <v>361</v>
      </c>
      <c r="H357" s="194">
        <v>107</v>
      </c>
      <c r="I357" s="193" t="s">
        <v>87</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86">
      <selection activeCell="K40" sqref="K40"/>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122</v>
      </c>
      <c r="D1" s="98" t="str">
        <f>IF(LEN(Tablica_A!$E$9)&gt;3,Tablica_A!$E$9,"Nije upisano")</f>
        <v>PODRAVSKA BANKA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217</v>
      </c>
      <c r="D3" s="105" t="str">
        <f>IF(LEN(Tablica_A!$S$5)&gt;3,Tablica_A!$S$5,"Nije upisano")</f>
        <v>03015904</v>
      </c>
      <c r="E3" s="105"/>
      <c r="F3" s="105"/>
      <c r="G3" s="106"/>
      <c r="H3" s="104"/>
      <c r="I3" s="104" t="s">
        <v>218</v>
      </c>
      <c r="J3" s="107" t="str">
        <f>IF(LEN(Tablica_A!$G$7)&gt;3,Tablica_A!$G$7,"Nije upisano")</f>
        <v>2007-06</v>
      </c>
    </row>
    <row r="4" ht="9.75" customHeight="1"/>
    <row r="5" spans="1:10" s="55" customFormat="1" ht="34.5" customHeight="1">
      <c r="A5" s="56" t="s">
        <v>265</v>
      </c>
      <c r="I5" s="273" t="s">
        <v>377</v>
      </c>
      <c r="J5" s="387"/>
    </row>
    <row r="6" spans="1:10" s="23" customFormat="1" ht="15" customHeight="1">
      <c r="A6" s="131"/>
      <c r="I6" s="388" t="s">
        <v>266</v>
      </c>
      <c r="J6" s="388"/>
    </row>
    <row r="7" spans="1:10" s="135" customFormat="1" ht="19.5" customHeight="1">
      <c r="A7" s="356" t="s">
        <v>267</v>
      </c>
      <c r="B7" s="356"/>
      <c r="C7" s="356"/>
      <c r="D7" s="356"/>
      <c r="E7" s="356"/>
      <c r="F7" s="132" t="s">
        <v>268</v>
      </c>
      <c r="G7" s="357" t="s">
        <v>269</v>
      </c>
      <c r="H7" s="342"/>
      <c r="I7" s="342" t="s">
        <v>270</v>
      </c>
      <c r="J7" s="343"/>
    </row>
    <row r="8" spans="1:10" s="137" customFormat="1" ht="19.5" customHeight="1">
      <c r="A8" s="389" t="s">
        <v>271</v>
      </c>
      <c r="B8" s="390"/>
      <c r="C8" s="390"/>
      <c r="D8" s="390"/>
      <c r="E8" s="391"/>
      <c r="F8" s="136">
        <v>1</v>
      </c>
      <c r="G8" s="384">
        <f>SUM(G9:H18)</f>
        <v>2541281</v>
      </c>
      <c r="H8" s="375"/>
      <c r="I8" s="375">
        <f>SUM(I9:K18)</f>
        <v>2636523</v>
      </c>
      <c r="J8" s="376"/>
    </row>
    <row r="9" spans="1:10" s="137" customFormat="1" ht="19.5" customHeight="1">
      <c r="A9" s="138"/>
      <c r="B9" s="362" t="s">
        <v>272</v>
      </c>
      <c r="C9" s="362"/>
      <c r="D9" s="362"/>
      <c r="E9" s="374"/>
      <c r="F9" s="136">
        <v>2</v>
      </c>
      <c r="G9" s="383">
        <v>45326</v>
      </c>
      <c r="H9" s="381"/>
      <c r="I9" s="381">
        <v>60023</v>
      </c>
      <c r="J9" s="382"/>
    </row>
    <row r="10" spans="1:10" s="137" customFormat="1" ht="19.5" customHeight="1">
      <c r="A10" s="138"/>
      <c r="B10" s="362" t="s">
        <v>273</v>
      </c>
      <c r="C10" s="362"/>
      <c r="D10" s="362"/>
      <c r="E10" s="374"/>
      <c r="F10" s="136">
        <v>3</v>
      </c>
      <c r="G10" s="383">
        <v>271522</v>
      </c>
      <c r="H10" s="381"/>
      <c r="I10" s="381">
        <v>308050</v>
      </c>
      <c r="J10" s="382"/>
    </row>
    <row r="11" spans="1:10" s="137" customFormat="1" ht="19.5" customHeight="1">
      <c r="A11" s="138"/>
      <c r="B11" s="362" t="s">
        <v>274</v>
      </c>
      <c r="C11" s="362"/>
      <c r="D11" s="362"/>
      <c r="E11" s="374"/>
      <c r="F11" s="136">
        <v>4</v>
      </c>
      <c r="G11" s="383">
        <v>422596</v>
      </c>
      <c r="H11" s="381"/>
      <c r="I11" s="381">
        <v>348261</v>
      </c>
      <c r="J11" s="382"/>
    </row>
    <row r="12" spans="1:10" s="137" customFormat="1" ht="19.5" customHeight="1">
      <c r="A12" s="138"/>
      <c r="B12" s="362" t="s">
        <v>275</v>
      </c>
      <c r="C12" s="362"/>
      <c r="D12" s="362"/>
      <c r="E12" s="374"/>
      <c r="F12" s="136">
        <v>5</v>
      </c>
      <c r="G12" s="383">
        <v>0</v>
      </c>
      <c r="H12" s="381"/>
      <c r="I12" s="381">
        <v>0</v>
      </c>
      <c r="J12" s="382"/>
    </row>
    <row r="13" spans="1:10" s="137" customFormat="1" ht="19.5" customHeight="1">
      <c r="A13" s="138"/>
      <c r="B13" s="362" t="s">
        <v>276</v>
      </c>
      <c r="C13" s="362"/>
      <c r="D13" s="362"/>
      <c r="E13" s="374"/>
      <c r="F13" s="136">
        <v>6</v>
      </c>
      <c r="G13" s="383">
        <f>72111-25180+28</f>
        <v>46959</v>
      </c>
      <c r="H13" s="381"/>
      <c r="I13" s="381">
        <f>70595-23868+52</f>
        <v>46779</v>
      </c>
      <c r="J13" s="382"/>
    </row>
    <row r="14" spans="1:10" s="137" customFormat="1" ht="19.5" customHeight="1">
      <c r="A14" s="138"/>
      <c r="B14" s="362" t="s">
        <v>277</v>
      </c>
      <c r="C14" s="362"/>
      <c r="D14" s="362"/>
      <c r="E14" s="374"/>
      <c r="F14" s="136">
        <v>7</v>
      </c>
      <c r="G14" s="383">
        <v>182021</v>
      </c>
      <c r="H14" s="381"/>
      <c r="I14" s="381">
        <v>180000</v>
      </c>
      <c r="J14" s="382"/>
    </row>
    <row r="15" spans="1:10" s="137" customFormat="1" ht="19.5" customHeight="1">
      <c r="A15" s="138"/>
      <c r="B15" s="362" t="s">
        <v>278</v>
      </c>
      <c r="C15" s="362"/>
      <c r="D15" s="362"/>
      <c r="E15" s="374"/>
      <c r="F15" s="136">
        <v>8</v>
      </c>
      <c r="G15" s="383">
        <f>1287478-19800</f>
        <v>1267678</v>
      </c>
      <c r="H15" s="381"/>
      <c r="I15" s="381">
        <f>1406737-20600</f>
        <v>1386137</v>
      </c>
      <c r="J15" s="382"/>
    </row>
    <row r="16" spans="1:10" s="137" customFormat="1" ht="19.5" customHeight="1">
      <c r="A16" s="138"/>
      <c r="B16" s="362" t="s">
        <v>279</v>
      </c>
      <c r="C16" s="362"/>
      <c r="D16" s="362"/>
      <c r="E16" s="374"/>
      <c r="F16" s="136">
        <v>9</v>
      </c>
      <c r="G16" s="383">
        <v>0</v>
      </c>
      <c r="H16" s="381"/>
      <c r="I16" s="381">
        <v>1530</v>
      </c>
      <c r="J16" s="382"/>
    </row>
    <row r="17" spans="1:10" s="137" customFormat="1" ht="19.5" customHeight="1">
      <c r="A17" s="138"/>
      <c r="B17" s="362" t="s">
        <v>280</v>
      </c>
      <c r="C17" s="362"/>
      <c r="D17" s="362"/>
      <c r="E17" s="374"/>
      <c r="F17" s="136">
        <v>10</v>
      </c>
      <c r="G17" s="383">
        <v>216772</v>
      </c>
      <c r="H17" s="381"/>
      <c r="I17" s="381">
        <v>207400</v>
      </c>
      <c r="J17" s="382"/>
    </row>
    <row r="18" spans="1:10" s="137" customFormat="1" ht="19.5" customHeight="1">
      <c r="A18" s="138"/>
      <c r="B18" s="362" t="s">
        <v>281</v>
      </c>
      <c r="C18" s="362"/>
      <c r="D18" s="362"/>
      <c r="E18" s="374"/>
      <c r="F18" s="136">
        <v>11</v>
      </c>
      <c r="G18" s="383">
        <f>25180+59156+4071</f>
        <v>88407</v>
      </c>
      <c r="H18" s="381"/>
      <c r="I18" s="381">
        <f>70878+3597+23868</f>
        <v>98343</v>
      </c>
      <c r="J18" s="382"/>
    </row>
    <row r="19" spans="1:10" s="137" customFormat="1" ht="19.5" customHeight="1">
      <c r="A19" s="139" t="s">
        <v>282</v>
      </c>
      <c r="B19" s="140"/>
      <c r="C19" s="141"/>
      <c r="D19" s="141"/>
      <c r="E19" s="142"/>
      <c r="F19" s="136">
        <v>12</v>
      </c>
      <c r="G19" s="384">
        <f>SUM(G20:H25)</f>
        <v>2312917</v>
      </c>
      <c r="H19" s="375"/>
      <c r="I19" s="375">
        <f>SUM(I20:J25)</f>
        <v>2396387</v>
      </c>
      <c r="J19" s="376"/>
    </row>
    <row r="20" spans="1:10" s="137" customFormat="1" ht="19.5" customHeight="1">
      <c r="A20" s="138"/>
      <c r="B20" s="362" t="s">
        <v>283</v>
      </c>
      <c r="C20" s="362"/>
      <c r="D20" s="362"/>
      <c r="E20" s="374"/>
      <c r="F20" s="136">
        <v>13</v>
      </c>
      <c r="G20" s="383">
        <v>654044</v>
      </c>
      <c r="H20" s="381"/>
      <c r="I20" s="381">
        <v>632306</v>
      </c>
      <c r="J20" s="382"/>
    </row>
    <row r="21" spans="1:10" s="137" customFormat="1" ht="19.5" customHeight="1">
      <c r="A21" s="138"/>
      <c r="B21" s="362" t="s">
        <v>284</v>
      </c>
      <c r="C21" s="362"/>
      <c r="D21" s="362"/>
      <c r="E21" s="374"/>
      <c r="F21" s="136">
        <v>14</v>
      </c>
      <c r="G21" s="383">
        <v>1402754</v>
      </c>
      <c r="H21" s="381"/>
      <c r="I21" s="381">
        <v>1431692</v>
      </c>
      <c r="J21" s="382"/>
    </row>
    <row r="22" spans="1:10" s="137" customFormat="1" ht="19.5" customHeight="1">
      <c r="A22" s="138"/>
      <c r="B22" s="362" t="s">
        <v>285</v>
      </c>
      <c r="C22" s="362"/>
      <c r="D22" s="362"/>
      <c r="E22" s="374"/>
      <c r="F22" s="136">
        <v>15</v>
      </c>
      <c r="G22" s="383">
        <v>151374</v>
      </c>
      <c r="H22" s="381"/>
      <c r="I22" s="381">
        <v>160311</v>
      </c>
      <c r="J22" s="382"/>
    </row>
    <row r="23" spans="1:10" s="137" customFormat="1" ht="19.5" customHeight="1">
      <c r="A23" s="143"/>
      <c r="B23" s="144" t="s">
        <v>286</v>
      </c>
      <c r="C23" s="145"/>
      <c r="D23" s="145"/>
      <c r="E23" s="146"/>
      <c r="F23" s="136">
        <v>16</v>
      </c>
      <c r="G23" s="383">
        <f>104729-4794+16</f>
        <v>99951</v>
      </c>
      <c r="H23" s="381"/>
      <c r="I23" s="381">
        <v>167661</v>
      </c>
      <c r="J23" s="382"/>
    </row>
    <row r="24" spans="1:10" s="137" customFormat="1" ht="19.5" customHeight="1">
      <c r="A24" s="143"/>
      <c r="B24" s="144" t="s">
        <v>287</v>
      </c>
      <c r="C24" s="147"/>
      <c r="D24" s="147"/>
      <c r="E24" s="148"/>
      <c r="F24" s="136">
        <v>17</v>
      </c>
      <c r="G24" s="383">
        <v>0</v>
      </c>
      <c r="H24" s="381"/>
      <c r="I24" s="381">
        <v>0</v>
      </c>
      <c r="J24" s="382"/>
    </row>
    <row r="25" spans="1:10" s="137" customFormat="1" ht="19.5" customHeight="1">
      <c r="A25" s="143"/>
      <c r="B25" s="144" t="s">
        <v>288</v>
      </c>
      <c r="C25" s="147"/>
      <c r="D25" s="147"/>
      <c r="E25" s="148"/>
      <c r="F25" s="136">
        <v>18</v>
      </c>
      <c r="G25" s="383">
        <v>4794</v>
      </c>
      <c r="H25" s="381"/>
      <c r="I25" s="381">
        <v>4417</v>
      </c>
      <c r="J25" s="386"/>
    </row>
    <row r="26" spans="1:10" s="137" customFormat="1" ht="19.5" customHeight="1">
      <c r="A26" s="149" t="s">
        <v>289</v>
      </c>
      <c r="B26" s="150"/>
      <c r="C26" s="147"/>
      <c r="D26" s="147"/>
      <c r="E26" s="148"/>
      <c r="F26" s="136">
        <v>19</v>
      </c>
      <c r="G26" s="384">
        <f>SUM(G27:H29)</f>
        <v>228364</v>
      </c>
      <c r="H26" s="375"/>
      <c r="I26" s="375">
        <f>SUM(I27:J29)</f>
        <v>240136</v>
      </c>
      <c r="J26" s="376"/>
    </row>
    <row r="27" spans="1:10" s="137" customFormat="1" ht="19.5" customHeight="1">
      <c r="A27" s="143"/>
      <c r="B27" s="144" t="s">
        <v>290</v>
      </c>
      <c r="C27" s="145"/>
      <c r="D27" s="145"/>
      <c r="E27" s="146"/>
      <c r="F27" s="136">
        <v>20</v>
      </c>
      <c r="G27" s="383">
        <v>168305</v>
      </c>
      <c r="H27" s="381"/>
      <c r="I27" s="383">
        <v>168305</v>
      </c>
      <c r="J27" s="381"/>
    </row>
    <row r="28" spans="1:10" s="137" customFormat="1" ht="19.5" customHeight="1">
      <c r="A28" s="143"/>
      <c r="B28" s="144" t="s">
        <v>291</v>
      </c>
      <c r="C28" s="145"/>
      <c r="D28" s="145"/>
      <c r="E28" s="146"/>
      <c r="F28" s="136">
        <v>21</v>
      </c>
      <c r="G28" s="383">
        <v>41494</v>
      </c>
      <c r="H28" s="381"/>
      <c r="I28" s="381">
        <v>58338</v>
      </c>
      <c r="J28" s="386"/>
    </row>
    <row r="29" spans="1:10" s="137" customFormat="1" ht="19.5" customHeight="1">
      <c r="A29" s="143"/>
      <c r="B29" s="144" t="s">
        <v>292</v>
      </c>
      <c r="C29" s="145"/>
      <c r="D29" s="145"/>
      <c r="E29" s="146"/>
      <c r="F29" s="136">
        <v>22</v>
      </c>
      <c r="G29" s="383">
        <v>18565</v>
      </c>
      <c r="H29" s="381"/>
      <c r="I29" s="381">
        <v>13493</v>
      </c>
      <c r="J29" s="382"/>
    </row>
    <row r="30" spans="1:10" s="137" customFormat="1" ht="19.5" customHeight="1">
      <c r="A30" s="149" t="s">
        <v>293</v>
      </c>
      <c r="B30" s="150"/>
      <c r="C30" s="151"/>
      <c r="D30" s="151"/>
      <c r="E30" s="152"/>
      <c r="F30" s="136">
        <v>23</v>
      </c>
      <c r="G30" s="384">
        <f>G19+G26</f>
        <v>2541281</v>
      </c>
      <c r="H30" s="375"/>
      <c r="I30" s="375">
        <f>I19+I26</f>
        <v>2636523</v>
      </c>
      <c r="J30" s="376"/>
    </row>
    <row r="31" spans="1:10" s="137" customFormat="1" ht="19.5" customHeight="1">
      <c r="A31" s="149" t="s">
        <v>294</v>
      </c>
      <c r="B31" s="150"/>
      <c r="C31" s="153"/>
      <c r="D31" s="153"/>
      <c r="E31" s="154"/>
      <c r="F31" s="136">
        <v>24</v>
      </c>
      <c r="G31" s="384">
        <f>SUM(G32:H33)</f>
        <v>218941</v>
      </c>
      <c r="H31" s="375"/>
      <c r="I31" s="375">
        <f>SUM(I32:J33)</f>
        <v>238185</v>
      </c>
      <c r="J31" s="376"/>
    </row>
    <row r="32" spans="1:10" s="137" customFormat="1" ht="19.5" customHeight="1">
      <c r="A32" s="155"/>
      <c r="B32" s="144" t="s">
        <v>295</v>
      </c>
      <c r="C32" s="153"/>
      <c r="D32" s="153"/>
      <c r="E32" s="154"/>
      <c r="F32" s="136">
        <v>25</v>
      </c>
      <c r="G32" s="383">
        <v>84297</v>
      </c>
      <c r="H32" s="381"/>
      <c r="I32" s="381">
        <v>60352</v>
      </c>
      <c r="J32" s="386"/>
    </row>
    <row r="33" spans="1:10" s="137" customFormat="1" ht="19.5" customHeight="1">
      <c r="A33" s="156"/>
      <c r="B33" s="157" t="s">
        <v>296</v>
      </c>
      <c r="C33" s="153"/>
      <c r="D33" s="153"/>
      <c r="E33" s="154"/>
      <c r="F33" s="136">
        <v>26</v>
      </c>
      <c r="G33" s="383">
        <v>134644</v>
      </c>
      <c r="H33" s="381"/>
      <c r="I33" s="381">
        <v>177833</v>
      </c>
      <c r="J33" s="386"/>
    </row>
    <row r="34" spans="1:10" ht="27.75" customHeight="1">
      <c r="A34" s="385" t="s">
        <v>297</v>
      </c>
      <c r="B34" s="385"/>
      <c r="C34" s="385"/>
      <c r="D34" s="385"/>
      <c r="E34" s="385"/>
      <c r="F34" s="385"/>
      <c r="G34" s="385"/>
      <c r="H34" s="385"/>
      <c r="I34" s="385"/>
      <c r="J34" s="385"/>
    </row>
    <row r="35" ht="12.75">
      <c r="A35" s="158" t="s">
        <v>298</v>
      </c>
    </row>
    <row r="36" ht="12.75"/>
    <row r="37" spans="1:10" s="68" customFormat="1" ht="15.75" customHeight="1">
      <c r="A37" s="96"/>
      <c r="B37" s="97"/>
      <c r="C37" s="97" t="s">
        <v>122</v>
      </c>
      <c r="D37" s="98" t="str">
        <f>IF(LEN(Tablica_A!$E$9)&gt;3,Tablica_A!$E$9,"Nije upisano")</f>
        <v>PODRAVSKA BANKA d.d.</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217</v>
      </c>
      <c r="D39" s="105" t="str">
        <f>IF(LEN(Tablica_A!$S$5)&gt;3,Tablica_A!$S$5,"Nije upisano")</f>
        <v>03015904</v>
      </c>
      <c r="E39" s="105"/>
      <c r="F39" s="105"/>
      <c r="G39" s="106"/>
      <c r="H39" s="104"/>
      <c r="I39" s="104" t="s">
        <v>218</v>
      </c>
      <c r="J39" s="107" t="str">
        <f>IF(LEN(Tablica_A!$G$7)&gt;3,Tablica_A!$G$7,"Nije upisano")</f>
        <v>2007-06</v>
      </c>
    </row>
    <row r="40" ht="6" customHeight="1"/>
    <row r="41" spans="1:10" s="55" customFormat="1" ht="34.5" customHeight="1">
      <c r="A41" s="56" t="s">
        <v>299</v>
      </c>
      <c r="I41" s="273" t="s">
        <v>377</v>
      </c>
      <c r="J41" s="387"/>
    </row>
    <row r="42" spans="1:10" ht="15" customHeight="1">
      <c r="A42" s="131"/>
      <c r="I42" s="388" t="s">
        <v>266</v>
      </c>
      <c r="J42" s="388"/>
    </row>
    <row r="43" spans="1:10" s="135" customFormat="1" ht="13.5" customHeight="1">
      <c r="A43" s="395" t="s">
        <v>267</v>
      </c>
      <c r="B43" s="396"/>
      <c r="C43" s="396"/>
      <c r="D43" s="396"/>
      <c r="E43" s="397"/>
      <c r="F43" s="401" t="s">
        <v>268</v>
      </c>
      <c r="G43" s="356" t="s">
        <v>300</v>
      </c>
      <c r="H43" s="356"/>
      <c r="I43" s="356" t="s">
        <v>254</v>
      </c>
      <c r="J43" s="356"/>
    </row>
    <row r="44" spans="1:10" s="135" customFormat="1" ht="13.5" customHeight="1">
      <c r="A44" s="398"/>
      <c r="B44" s="399"/>
      <c r="C44" s="399"/>
      <c r="D44" s="399"/>
      <c r="E44" s="400"/>
      <c r="F44" s="402"/>
      <c r="G44" s="133" t="s">
        <v>301</v>
      </c>
      <c r="H44" s="134" t="s">
        <v>302</v>
      </c>
      <c r="I44" s="133" t="s">
        <v>301</v>
      </c>
      <c r="J44" s="134" t="s">
        <v>302</v>
      </c>
    </row>
    <row r="45" spans="1:10" ht="18.75" customHeight="1">
      <c r="A45" s="365" t="s">
        <v>303</v>
      </c>
      <c r="B45" s="363"/>
      <c r="C45" s="363"/>
      <c r="D45" s="363"/>
      <c r="E45" s="364"/>
      <c r="F45" s="160">
        <v>27</v>
      </c>
      <c r="G45" s="161">
        <f>SUM(G46:G49)</f>
        <v>58008</v>
      </c>
      <c r="H45" s="162">
        <f>SUM(H46:H49)</f>
        <v>29584</v>
      </c>
      <c r="I45" s="161">
        <f>SUM(I46:I49)</f>
        <v>79008</v>
      </c>
      <c r="J45" s="162">
        <f>SUM(J46:J49)</f>
        <v>40665</v>
      </c>
    </row>
    <row r="46" spans="1:10" ht="18.75" customHeight="1">
      <c r="A46" s="138"/>
      <c r="B46" s="366" t="s">
        <v>304</v>
      </c>
      <c r="C46" s="367"/>
      <c r="D46" s="367"/>
      <c r="E46" s="368"/>
      <c r="F46" s="160">
        <v>28</v>
      </c>
      <c r="G46" s="163">
        <v>37277</v>
      </c>
      <c r="H46" s="163">
        <v>19035</v>
      </c>
      <c r="I46" s="163">
        <v>44780</v>
      </c>
      <c r="J46" s="163">
        <v>23167</v>
      </c>
    </row>
    <row r="47" spans="1:10" ht="18.75" customHeight="1">
      <c r="A47" s="138"/>
      <c r="B47" s="366" t="s">
        <v>305</v>
      </c>
      <c r="C47" s="367"/>
      <c r="D47" s="367"/>
      <c r="E47" s="368"/>
      <c r="F47" s="160">
        <v>29</v>
      </c>
      <c r="G47" s="163">
        <v>14930</v>
      </c>
      <c r="H47" s="163">
        <v>7848</v>
      </c>
      <c r="I47" s="163">
        <v>22805</v>
      </c>
      <c r="J47" s="163">
        <v>11758</v>
      </c>
    </row>
    <row r="48" spans="1:10" ht="18.75" customHeight="1">
      <c r="A48" s="138"/>
      <c r="B48" s="362" t="s">
        <v>306</v>
      </c>
      <c r="C48" s="363"/>
      <c r="D48" s="363"/>
      <c r="E48" s="364"/>
      <c r="F48" s="160">
        <v>30</v>
      </c>
      <c r="G48" s="163">
        <v>2649</v>
      </c>
      <c r="H48" s="163">
        <v>1446</v>
      </c>
      <c r="I48" s="163">
        <v>8347</v>
      </c>
      <c r="J48" s="163">
        <v>4354</v>
      </c>
    </row>
    <row r="49" spans="1:10" ht="18.75" customHeight="1">
      <c r="A49" s="138"/>
      <c r="B49" s="366" t="s">
        <v>307</v>
      </c>
      <c r="C49" s="367"/>
      <c r="D49" s="367"/>
      <c r="E49" s="368"/>
      <c r="F49" s="160">
        <v>31</v>
      </c>
      <c r="G49" s="163">
        <v>3152</v>
      </c>
      <c r="H49" s="163">
        <v>1255</v>
      </c>
      <c r="I49" s="163">
        <v>3076</v>
      </c>
      <c r="J49" s="163">
        <v>1386</v>
      </c>
    </row>
    <row r="50" spans="1:10" ht="18.75" customHeight="1">
      <c r="A50" s="365" t="s">
        <v>308</v>
      </c>
      <c r="B50" s="363"/>
      <c r="C50" s="363"/>
      <c r="D50" s="363"/>
      <c r="E50" s="364"/>
      <c r="F50" s="160">
        <v>32</v>
      </c>
      <c r="G50" s="161">
        <f>SUM(G51:G54)</f>
        <v>27473</v>
      </c>
      <c r="H50" s="162">
        <f>SUM(H51:H54)</f>
        <v>13894</v>
      </c>
      <c r="I50" s="161">
        <f>SUM(I51:I54)</f>
        <v>36671</v>
      </c>
      <c r="J50" s="162">
        <f>SUM(J51:J54)</f>
        <v>18344</v>
      </c>
    </row>
    <row r="51" spans="1:10" ht="18.75" customHeight="1">
      <c r="A51" s="138"/>
      <c r="B51" s="366" t="s">
        <v>309</v>
      </c>
      <c r="C51" s="367"/>
      <c r="D51" s="367"/>
      <c r="E51" s="368"/>
      <c r="F51" s="160">
        <v>33</v>
      </c>
      <c r="G51" s="163">
        <v>14119</v>
      </c>
      <c r="H51" s="163">
        <v>7165</v>
      </c>
      <c r="I51" s="163">
        <v>20155</v>
      </c>
      <c r="J51" s="163">
        <v>10333</v>
      </c>
    </row>
    <row r="52" spans="1:10" ht="18.75" customHeight="1">
      <c r="A52" s="165"/>
      <c r="B52" s="362" t="s">
        <v>310</v>
      </c>
      <c r="C52" s="363"/>
      <c r="D52" s="363"/>
      <c r="E52" s="364"/>
      <c r="F52" s="160">
        <v>34</v>
      </c>
      <c r="G52" s="163">
        <v>2156</v>
      </c>
      <c r="H52" s="163">
        <v>619</v>
      </c>
      <c r="I52" s="163">
        <v>4620</v>
      </c>
      <c r="J52" s="163">
        <v>2383</v>
      </c>
    </row>
    <row r="53" spans="1:10" ht="18.75" customHeight="1">
      <c r="A53" s="138"/>
      <c r="B53" s="362" t="s">
        <v>311</v>
      </c>
      <c r="C53" s="363"/>
      <c r="D53" s="363"/>
      <c r="E53" s="364"/>
      <c r="F53" s="160">
        <v>35</v>
      </c>
      <c r="G53" s="163">
        <v>7082</v>
      </c>
      <c r="H53" s="163">
        <v>3597</v>
      </c>
      <c r="I53" s="163">
        <v>6630</v>
      </c>
      <c r="J53" s="163">
        <v>3218</v>
      </c>
    </row>
    <row r="54" spans="1:10" ht="18.75" customHeight="1">
      <c r="A54" s="138"/>
      <c r="B54" s="362" t="s">
        <v>312</v>
      </c>
      <c r="C54" s="363"/>
      <c r="D54" s="363"/>
      <c r="E54" s="364"/>
      <c r="F54" s="160">
        <v>36</v>
      </c>
      <c r="G54" s="163">
        <v>4116</v>
      </c>
      <c r="H54" s="163">
        <v>2513</v>
      </c>
      <c r="I54" s="163">
        <v>5266</v>
      </c>
      <c r="J54" s="163">
        <v>2410</v>
      </c>
    </row>
    <row r="55" spans="1:10" ht="18.75" customHeight="1">
      <c r="A55" s="365" t="s">
        <v>313</v>
      </c>
      <c r="B55" s="363"/>
      <c r="C55" s="363"/>
      <c r="D55" s="363"/>
      <c r="E55" s="364"/>
      <c r="F55" s="160">
        <v>37</v>
      </c>
      <c r="G55" s="161">
        <f>G45-G50</f>
        <v>30535</v>
      </c>
      <c r="H55" s="162">
        <f>H45-H50</f>
        <v>15690</v>
      </c>
      <c r="I55" s="161">
        <f>I45-I50</f>
        <v>42337</v>
      </c>
      <c r="J55" s="162">
        <f>J45-J50</f>
        <v>22321</v>
      </c>
    </row>
    <row r="56" spans="1:10" ht="18.75" customHeight="1">
      <c r="A56" s="365" t="s">
        <v>314</v>
      </c>
      <c r="B56" s="363"/>
      <c r="C56" s="363"/>
      <c r="D56" s="363"/>
      <c r="E56" s="364"/>
      <c r="F56" s="160">
        <v>38</v>
      </c>
      <c r="G56" s="161">
        <f>G57-G58</f>
        <v>13733</v>
      </c>
      <c r="H56" s="162">
        <f>H57-H58</f>
        <v>6385</v>
      </c>
      <c r="I56" s="161">
        <f>I57-I58</f>
        <v>18678</v>
      </c>
      <c r="J56" s="162">
        <f>J57-J58</f>
        <v>10551</v>
      </c>
    </row>
    <row r="57" spans="1:10" ht="18.75" customHeight="1">
      <c r="A57" s="166"/>
      <c r="B57" s="362" t="s">
        <v>315</v>
      </c>
      <c r="C57" s="363"/>
      <c r="D57" s="363"/>
      <c r="E57" s="364"/>
      <c r="F57" s="160">
        <v>39</v>
      </c>
      <c r="G57" s="163">
        <v>19485</v>
      </c>
      <c r="H57" s="163">
        <v>9450</v>
      </c>
      <c r="I57" s="163">
        <v>25769</v>
      </c>
      <c r="J57" s="163">
        <v>14192</v>
      </c>
    </row>
    <row r="58" spans="1:10" ht="18.75" customHeight="1">
      <c r="A58" s="166"/>
      <c r="B58" s="362" t="s">
        <v>316</v>
      </c>
      <c r="C58" s="363"/>
      <c r="D58" s="363"/>
      <c r="E58" s="364"/>
      <c r="F58" s="160">
        <v>40</v>
      </c>
      <c r="G58" s="163">
        <v>5752</v>
      </c>
      <c r="H58" s="163">
        <v>3065</v>
      </c>
      <c r="I58" s="163">
        <v>7091</v>
      </c>
      <c r="J58" s="163">
        <v>3641</v>
      </c>
    </row>
    <row r="59" spans="1:10" ht="18.75" customHeight="1">
      <c r="A59" s="365" t="s">
        <v>317</v>
      </c>
      <c r="B59" s="363"/>
      <c r="C59" s="363"/>
      <c r="D59" s="363"/>
      <c r="E59" s="364"/>
      <c r="F59" s="160">
        <v>41</v>
      </c>
      <c r="G59" s="161">
        <f>SUM(G60:G62)</f>
        <v>2078</v>
      </c>
      <c r="H59" s="162">
        <f>SUM(H60:H62)</f>
        <v>-607</v>
      </c>
      <c r="I59" s="161">
        <f>SUM(I60:I62)</f>
        <v>9970</v>
      </c>
      <c r="J59" s="162">
        <f>SUM(J60:J62)</f>
        <v>2374</v>
      </c>
    </row>
    <row r="60" spans="1:10" ht="18.75" customHeight="1">
      <c r="A60" s="167"/>
      <c r="B60" s="362" t="s">
        <v>318</v>
      </c>
      <c r="C60" s="363"/>
      <c r="D60" s="363"/>
      <c r="E60" s="364"/>
      <c r="F60" s="160">
        <v>42</v>
      </c>
      <c r="G60" s="163">
        <v>0</v>
      </c>
      <c r="H60" s="163">
        <v>0</v>
      </c>
      <c r="I60" s="163">
        <v>515</v>
      </c>
      <c r="J60" s="163">
        <v>515</v>
      </c>
    </row>
    <row r="61" spans="1:10" ht="18.75" customHeight="1">
      <c r="A61" s="167"/>
      <c r="B61" s="362" t="s">
        <v>319</v>
      </c>
      <c r="C61" s="363"/>
      <c r="D61" s="363"/>
      <c r="E61" s="364"/>
      <c r="F61" s="160">
        <v>43</v>
      </c>
      <c r="G61" s="163">
        <v>216</v>
      </c>
      <c r="H61" s="163">
        <v>76</v>
      </c>
      <c r="I61" s="163">
        <v>2493</v>
      </c>
      <c r="J61" s="163">
        <v>1228</v>
      </c>
    </row>
    <row r="62" spans="1:10" ht="18.75" customHeight="1">
      <c r="A62" s="138"/>
      <c r="B62" s="362" t="s">
        <v>320</v>
      </c>
      <c r="C62" s="363"/>
      <c r="D62" s="363"/>
      <c r="E62" s="364"/>
      <c r="F62" s="160">
        <v>44</v>
      </c>
      <c r="G62" s="163">
        <v>1862</v>
      </c>
      <c r="H62" s="163">
        <v>-683</v>
      </c>
      <c r="I62" s="163">
        <v>6962</v>
      </c>
      <c r="J62" s="163">
        <v>631</v>
      </c>
    </row>
    <row r="63" spans="1:10" ht="18.75" customHeight="1">
      <c r="A63" s="365" t="s">
        <v>321</v>
      </c>
      <c r="B63" s="363"/>
      <c r="C63" s="363"/>
      <c r="D63" s="363"/>
      <c r="E63" s="364"/>
      <c r="F63" s="160">
        <v>45</v>
      </c>
      <c r="G63" s="163">
        <v>6434</v>
      </c>
      <c r="H63" s="163">
        <v>2614</v>
      </c>
      <c r="I63" s="163">
        <v>6323</v>
      </c>
      <c r="J63" s="163">
        <v>2669</v>
      </c>
    </row>
    <row r="64" spans="1:10" ht="18.75" customHeight="1">
      <c r="A64" s="365" t="s">
        <v>322</v>
      </c>
      <c r="B64" s="363"/>
      <c r="C64" s="363"/>
      <c r="D64" s="363"/>
      <c r="E64" s="364"/>
      <c r="F64" s="160">
        <v>46</v>
      </c>
      <c r="G64" s="161">
        <f>SUM(G65:G66)</f>
        <v>42964</v>
      </c>
      <c r="H64" s="162">
        <f>SUM(H65:H66)</f>
        <v>22384</v>
      </c>
      <c r="I64" s="161">
        <f>SUM(I65:I66)</f>
        <v>58514</v>
      </c>
      <c r="J64" s="162">
        <f>SUM(J65:J66)</f>
        <v>27783</v>
      </c>
    </row>
    <row r="65" spans="1:10" ht="18.75" customHeight="1">
      <c r="A65" s="138"/>
      <c r="B65" s="362" t="s">
        <v>323</v>
      </c>
      <c r="C65" s="363"/>
      <c r="D65" s="363"/>
      <c r="E65" s="364"/>
      <c r="F65" s="160">
        <v>47</v>
      </c>
      <c r="G65" s="163">
        <v>16615</v>
      </c>
      <c r="H65" s="163">
        <v>9174</v>
      </c>
      <c r="I65" s="163">
        <v>21773</v>
      </c>
      <c r="J65" s="163">
        <v>11210</v>
      </c>
    </row>
    <row r="66" spans="1:10" ht="18.75" customHeight="1">
      <c r="A66" s="138"/>
      <c r="B66" s="362" t="s">
        <v>324</v>
      </c>
      <c r="C66" s="363"/>
      <c r="D66" s="363"/>
      <c r="E66" s="364"/>
      <c r="F66" s="160">
        <v>48</v>
      </c>
      <c r="G66" s="163">
        <v>26349</v>
      </c>
      <c r="H66" s="163">
        <v>13210</v>
      </c>
      <c r="I66" s="163">
        <v>36741</v>
      </c>
      <c r="J66" s="163">
        <v>16573</v>
      </c>
    </row>
    <row r="67" spans="1:10" ht="18.75" customHeight="1">
      <c r="A67" s="365" t="s">
        <v>325</v>
      </c>
      <c r="B67" s="363"/>
      <c r="C67" s="363"/>
      <c r="D67" s="363"/>
      <c r="E67" s="364"/>
      <c r="F67" s="160">
        <v>49</v>
      </c>
      <c r="G67" s="161">
        <f>G55+G56+G59+G63-G64</f>
        <v>9816</v>
      </c>
      <c r="H67" s="162">
        <f>H55+H56+H59+H63-H64</f>
        <v>1698</v>
      </c>
      <c r="I67" s="161">
        <f>I55+I56+I59+I63-I64</f>
        <v>18794</v>
      </c>
      <c r="J67" s="162">
        <f>J55+J56+J59+J63-J64</f>
        <v>10132</v>
      </c>
    </row>
    <row r="68" spans="1:10" ht="18.75" customHeight="1">
      <c r="A68" s="365" t="s">
        <v>326</v>
      </c>
      <c r="B68" s="363"/>
      <c r="C68" s="363"/>
      <c r="D68" s="363"/>
      <c r="E68" s="364"/>
      <c r="F68" s="160">
        <v>50</v>
      </c>
      <c r="G68" s="168">
        <v>-3127</v>
      </c>
      <c r="H68" s="168">
        <v>-38</v>
      </c>
      <c r="I68" s="168">
        <v>-5301</v>
      </c>
      <c r="J68" s="168">
        <v>-4137</v>
      </c>
    </row>
    <row r="69" spans="1:10" ht="18.75" customHeight="1">
      <c r="A69" s="365" t="s">
        <v>327</v>
      </c>
      <c r="B69" s="363"/>
      <c r="C69" s="363"/>
      <c r="D69" s="363"/>
      <c r="E69" s="364"/>
      <c r="F69" s="160">
        <v>51</v>
      </c>
      <c r="G69" s="161">
        <f>SUM(G67:G68)</f>
        <v>6689</v>
      </c>
      <c r="H69" s="162">
        <f>SUM(H67:H68)</f>
        <v>1660</v>
      </c>
      <c r="I69" s="161">
        <f>SUM(I67:I68)</f>
        <v>13493</v>
      </c>
      <c r="J69" s="162">
        <f>SUM(J67:J68)</f>
        <v>5995</v>
      </c>
    </row>
    <row r="70" spans="1:10" ht="18.75" customHeight="1">
      <c r="A70" s="138"/>
      <c r="B70" s="362" t="s">
        <v>328</v>
      </c>
      <c r="C70" s="363"/>
      <c r="D70" s="363"/>
      <c r="E70" s="364"/>
      <c r="F70" s="160">
        <v>52</v>
      </c>
      <c r="G70" s="163">
        <v>0</v>
      </c>
      <c r="H70" s="164">
        <v>0</v>
      </c>
      <c r="I70" s="163">
        <v>0</v>
      </c>
      <c r="J70" s="164">
        <v>0</v>
      </c>
    </row>
    <row r="71" spans="1:10" ht="18.75" customHeight="1">
      <c r="A71" s="365" t="s">
        <v>329</v>
      </c>
      <c r="B71" s="363"/>
      <c r="C71" s="363"/>
      <c r="D71" s="363"/>
      <c r="E71" s="364"/>
      <c r="F71" s="160">
        <v>53</v>
      </c>
      <c r="G71" s="161">
        <f>G69-G70</f>
        <v>6689</v>
      </c>
      <c r="H71" s="162">
        <f>H69-H70</f>
        <v>1660</v>
      </c>
      <c r="I71" s="161">
        <f>I69-I70</f>
        <v>13493</v>
      </c>
      <c r="J71" s="162">
        <f>J69-J70</f>
        <v>5995</v>
      </c>
    </row>
    <row r="72" spans="1:10" ht="12.75">
      <c r="A72" s="169" t="s">
        <v>330</v>
      </c>
      <c r="B72" s="170"/>
      <c r="C72" s="170"/>
      <c r="D72" s="170"/>
      <c r="E72" s="170"/>
      <c r="F72" s="170"/>
      <c r="G72" s="170"/>
      <c r="H72" s="170"/>
      <c r="I72" s="170"/>
      <c r="J72" s="170"/>
    </row>
    <row r="73" spans="1:10" s="68" customFormat="1" ht="15.75" customHeight="1">
      <c r="A73" s="96"/>
      <c r="B73" s="97"/>
      <c r="C73" s="97" t="s">
        <v>122</v>
      </c>
      <c r="D73" s="98" t="str">
        <f>IF(LEN(Tablica_A!$E$9)&gt;3,Tablica_A!$E$9,"Nije upisano")</f>
        <v>PODRAVSKA BANKA d.d.</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217</v>
      </c>
      <c r="D75" s="105" t="str">
        <f>IF(LEN(Tablica_A!$S$5)&gt;3,Tablica_A!$S$5,"Nije upisano")</f>
        <v>03015904</v>
      </c>
      <c r="E75" s="105"/>
      <c r="F75" s="105"/>
      <c r="G75" s="106"/>
      <c r="H75" s="104"/>
      <c r="I75" s="104" t="s">
        <v>218</v>
      </c>
      <c r="J75" s="107" t="str">
        <f>IF(LEN(Tablica_A!$G$7)&gt;3,Tablica_A!$G$7,"Nije upisano")</f>
        <v>2007-06</v>
      </c>
    </row>
    <row r="76" ht="9.75" customHeight="1"/>
    <row r="77" spans="1:10" s="55" customFormat="1" ht="34.5" customHeight="1">
      <c r="A77" s="56" t="s">
        <v>331</v>
      </c>
      <c r="I77" s="273" t="s">
        <v>377</v>
      </c>
      <c r="J77" s="387"/>
    </row>
    <row r="78" spans="1:10" ht="15" customHeight="1">
      <c r="A78" s="131"/>
      <c r="I78" s="388" t="s">
        <v>266</v>
      </c>
      <c r="J78" s="388"/>
    </row>
    <row r="79" spans="1:10" s="135" customFormat="1" ht="19.5" customHeight="1">
      <c r="A79" s="392" t="s">
        <v>267</v>
      </c>
      <c r="B79" s="393"/>
      <c r="C79" s="393"/>
      <c r="D79" s="393"/>
      <c r="E79" s="394"/>
      <c r="F79" s="159" t="s">
        <v>268</v>
      </c>
      <c r="G79" s="357" t="s">
        <v>253</v>
      </c>
      <c r="H79" s="342"/>
      <c r="I79" s="342" t="s">
        <v>332</v>
      </c>
      <c r="J79" s="343"/>
    </row>
    <row r="80" spans="1:10" s="171" customFormat="1" ht="19.5" customHeight="1">
      <c r="A80" s="358" t="s">
        <v>333</v>
      </c>
      <c r="B80" s="359"/>
      <c r="C80" s="359"/>
      <c r="D80" s="359"/>
      <c r="E80" s="360"/>
      <c r="F80" s="160">
        <v>54</v>
      </c>
      <c r="G80" s="384">
        <f>SUM(G81:H92)</f>
        <v>-6123</v>
      </c>
      <c r="H80" s="375"/>
      <c r="I80" s="375">
        <f>SUM(I81:J92)</f>
        <v>25382</v>
      </c>
      <c r="J80" s="376"/>
    </row>
    <row r="81" spans="1:10" s="171" customFormat="1" ht="19.5" customHeight="1">
      <c r="A81" s="138"/>
      <c r="B81" s="361" t="s">
        <v>334</v>
      </c>
      <c r="C81" s="359"/>
      <c r="D81" s="359"/>
      <c r="E81" s="360"/>
      <c r="F81" s="160">
        <v>55</v>
      </c>
      <c r="G81" s="383">
        <v>6689</v>
      </c>
      <c r="H81" s="381"/>
      <c r="I81" s="381">
        <v>13493</v>
      </c>
      <c r="J81" s="382"/>
    </row>
    <row r="82" spans="1:10" s="171" customFormat="1" ht="19.5" customHeight="1">
      <c r="A82" s="138"/>
      <c r="B82" s="361" t="s">
        <v>335</v>
      </c>
      <c r="C82" s="359"/>
      <c r="D82" s="359"/>
      <c r="E82" s="360"/>
      <c r="F82" s="160">
        <v>56</v>
      </c>
      <c r="G82" s="383">
        <v>6164</v>
      </c>
      <c r="H82" s="381"/>
      <c r="I82" s="381">
        <v>6870</v>
      </c>
      <c r="J82" s="382"/>
    </row>
    <row r="83" spans="1:10" s="171" customFormat="1" ht="19.5" customHeight="1">
      <c r="A83" s="138"/>
      <c r="B83" s="361" t="s">
        <v>336</v>
      </c>
      <c r="C83" s="359"/>
      <c r="D83" s="359"/>
      <c r="E83" s="360"/>
      <c r="F83" s="160">
        <v>57</v>
      </c>
      <c r="G83" s="383">
        <v>-39823</v>
      </c>
      <c r="H83" s="381"/>
      <c r="I83" s="381">
        <v>-36528</v>
      </c>
      <c r="J83" s="382"/>
    </row>
    <row r="84" spans="1:10" s="171" customFormat="1" ht="19.5" customHeight="1">
      <c r="A84" s="138"/>
      <c r="B84" s="361" t="s">
        <v>337</v>
      </c>
      <c r="C84" s="359"/>
      <c r="D84" s="359"/>
      <c r="E84" s="360"/>
      <c r="F84" s="160">
        <v>58</v>
      </c>
      <c r="G84" s="383">
        <v>31231</v>
      </c>
      <c r="H84" s="381"/>
      <c r="I84" s="381">
        <v>74335</v>
      </c>
      <c r="J84" s="382"/>
    </row>
    <row r="85" spans="1:10" s="171" customFormat="1" ht="19.5" customHeight="1">
      <c r="A85" s="138"/>
      <c r="B85" s="361" t="s">
        <v>338</v>
      </c>
      <c r="C85" s="359"/>
      <c r="D85" s="359"/>
      <c r="E85" s="360"/>
      <c r="F85" s="160">
        <v>59</v>
      </c>
      <c r="G85" s="383">
        <v>-9000</v>
      </c>
      <c r="H85" s="381"/>
      <c r="I85" s="381">
        <v>2021</v>
      </c>
      <c r="J85" s="382"/>
    </row>
    <row r="86" spans="1:10" s="171" customFormat="1" ht="19.5" customHeight="1">
      <c r="A86" s="138"/>
      <c r="B86" s="361" t="s">
        <v>339</v>
      </c>
      <c r="C86" s="359"/>
      <c r="D86" s="359"/>
      <c r="E86" s="360"/>
      <c r="F86" s="160">
        <v>60</v>
      </c>
      <c r="G86" s="383">
        <v>-75775</v>
      </c>
      <c r="H86" s="381"/>
      <c r="I86" s="381">
        <v>-118459</v>
      </c>
      <c r="J86" s="382"/>
    </row>
    <row r="87" spans="1:10" s="171" customFormat="1" ht="30" customHeight="1">
      <c r="A87" s="138"/>
      <c r="B87" s="361" t="s">
        <v>340</v>
      </c>
      <c r="C87" s="359"/>
      <c r="D87" s="359"/>
      <c r="E87" s="360"/>
      <c r="F87" s="160">
        <v>61</v>
      </c>
      <c r="G87" s="383">
        <v>3866</v>
      </c>
      <c r="H87" s="381"/>
      <c r="I87" s="381">
        <v>180</v>
      </c>
      <c r="J87" s="382"/>
    </row>
    <row r="88" spans="1:10" s="171" customFormat="1" ht="19.5" customHeight="1">
      <c r="A88" s="138"/>
      <c r="B88" s="361" t="s">
        <v>341</v>
      </c>
      <c r="C88" s="359"/>
      <c r="D88" s="359"/>
      <c r="E88" s="360"/>
      <c r="F88" s="160">
        <v>62</v>
      </c>
      <c r="G88" s="383">
        <v>-16165</v>
      </c>
      <c r="H88" s="381"/>
      <c r="I88" s="381">
        <v>-21738</v>
      </c>
      <c r="J88" s="382"/>
    </row>
    <row r="89" spans="1:10" s="171" customFormat="1" ht="19.5" customHeight="1">
      <c r="A89" s="138"/>
      <c r="B89" s="361" t="s">
        <v>342</v>
      </c>
      <c r="C89" s="359"/>
      <c r="D89" s="359"/>
      <c r="E89" s="360"/>
      <c r="F89" s="160">
        <v>63</v>
      </c>
      <c r="G89" s="383">
        <v>63159</v>
      </c>
      <c r="H89" s="381"/>
      <c r="I89" s="381">
        <v>28938</v>
      </c>
      <c r="J89" s="382"/>
    </row>
    <row r="90" spans="1:10" s="171" customFormat="1" ht="30" customHeight="1">
      <c r="A90" s="138"/>
      <c r="B90" s="361" t="s">
        <v>343</v>
      </c>
      <c r="C90" s="359"/>
      <c r="D90" s="359"/>
      <c r="E90" s="360"/>
      <c r="F90" s="160">
        <v>64</v>
      </c>
      <c r="G90" s="383">
        <v>-1131</v>
      </c>
      <c r="H90" s="381"/>
      <c r="I90" s="381">
        <v>67710</v>
      </c>
      <c r="J90" s="382"/>
    </row>
    <row r="91" spans="1:10" s="171" customFormat="1" ht="30" customHeight="1">
      <c r="A91" s="138"/>
      <c r="B91" s="361" t="s">
        <v>344</v>
      </c>
      <c r="C91" s="359"/>
      <c r="D91" s="359"/>
      <c r="E91" s="360"/>
      <c r="F91" s="160">
        <v>65</v>
      </c>
      <c r="G91" s="383">
        <v>24619</v>
      </c>
      <c r="H91" s="381"/>
      <c r="I91" s="381">
        <v>8937</v>
      </c>
      <c r="J91" s="382"/>
    </row>
    <row r="92" spans="1:10" s="171" customFormat="1" ht="19.5" customHeight="1">
      <c r="A92" s="138"/>
      <c r="B92" s="361" t="s">
        <v>345</v>
      </c>
      <c r="C92" s="359"/>
      <c r="D92" s="359"/>
      <c r="E92" s="360"/>
      <c r="F92" s="160">
        <v>66</v>
      </c>
      <c r="G92" s="383">
        <v>43</v>
      </c>
      <c r="H92" s="381"/>
      <c r="I92" s="381">
        <v>-377</v>
      </c>
      <c r="J92" s="382"/>
    </row>
    <row r="93" spans="1:10" s="171" customFormat="1" ht="19.5" customHeight="1">
      <c r="A93" s="358" t="s">
        <v>346</v>
      </c>
      <c r="B93" s="359"/>
      <c r="C93" s="359"/>
      <c r="D93" s="359"/>
      <c r="E93" s="360"/>
      <c r="F93" s="160">
        <v>67</v>
      </c>
      <c r="G93" s="384">
        <f>SUM(G94:H99)</f>
        <v>-58702</v>
      </c>
      <c r="H93" s="375"/>
      <c r="I93" s="375">
        <f>SUM(I94:J99)</f>
        <v>-19932</v>
      </c>
      <c r="J93" s="376"/>
    </row>
    <row r="94" spans="1:10" s="171" customFormat="1" ht="30" customHeight="1">
      <c r="A94" s="138"/>
      <c r="B94" s="361" t="s">
        <v>347</v>
      </c>
      <c r="C94" s="359"/>
      <c r="D94" s="359"/>
      <c r="E94" s="360"/>
      <c r="F94" s="160">
        <v>68</v>
      </c>
      <c r="G94" s="383">
        <v>-29930</v>
      </c>
      <c r="H94" s="381"/>
      <c r="I94" s="381">
        <v>0</v>
      </c>
      <c r="J94" s="382"/>
    </row>
    <row r="95" spans="1:10" s="171" customFormat="1" ht="19.5" customHeight="1">
      <c r="A95" s="138"/>
      <c r="B95" s="361" t="s">
        <v>348</v>
      </c>
      <c r="C95" s="359"/>
      <c r="D95" s="359"/>
      <c r="E95" s="360"/>
      <c r="F95" s="160">
        <v>69</v>
      </c>
      <c r="G95" s="383">
        <v>-24398</v>
      </c>
      <c r="H95" s="381"/>
      <c r="I95" s="381">
        <v>-1530</v>
      </c>
      <c r="J95" s="382"/>
    </row>
    <row r="96" spans="1:10" s="171" customFormat="1" ht="19.5" customHeight="1">
      <c r="A96" s="138"/>
      <c r="B96" s="361" t="s">
        <v>349</v>
      </c>
      <c r="C96" s="359"/>
      <c r="D96" s="359"/>
      <c r="E96" s="360"/>
      <c r="F96" s="160">
        <v>70</v>
      </c>
      <c r="G96" s="383">
        <v>283</v>
      </c>
      <c r="H96" s="381"/>
      <c r="I96" s="381">
        <v>-1596</v>
      </c>
      <c r="J96" s="382"/>
    </row>
    <row r="97" spans="1:10" s="171" customFormat="1" ht="19.5" customHeight="1">
      <c r="A97" s="138"/>
      <c r="B97" s="361" t="s">
        <v>350</v>
      </c>
      <c r="C97" s="359"/>
      <c r="D97" s="359"/>
      <c r="E97" s="360"/>
      <c r="F97" s="160">
        <v>71</v>
      </c>
      <c r="G97" s="383">
        <v>-4681</v>
      </c>
      <c r="H97" s="381"/>
      <c r="I97" s="381">
        <v>-16890</v>
      </c>
      <c r="J97" s="382"/>
    </row>
    <row r="98" spans="1:10" s="171" customFormat="1" ht="19.5" customHeight="1">
      <c r="A98" s="138"/>
      <c r="B98" s="361" t="s">
        <v>351</v>
      </c>
      <c r="C98" s="359"/>
      <c r="D98" s="359"/>
      <c r="E98" s="360"/>
      <c r="F98" s="160">
        <v>72</v>
      </c>
      <c r="G98" s="383">
        <v>24</v>
      </c>
      <c r="H98" s="381"/>
      <c r="I98" s="381">
        <v>84</v>
      </c>
      <c r="J98" s="382"/>
    </row>
    <row r="99" spans="1:10" s="171" customFormat="1" ht="19.5" customHeight="1">
      <c r="A99" s="138"/>
      <c r="B99" s="361" t="s">
        <v>345</v>
      </c>
      <c r="C99" s="359"/>
      <c r="D99" s="359"/>
      <c r="E99" s="360"/>
      <c r="F99" s="160">
        <v>73</v>
      </c>
      <c r="G99" s="383">
        <v>0</v>
      </c>
      <c r="H99" s="381"/>
      <c r="I99" s="381">
        <v>0</v>
      </c>
      <c r="J99" s="382"/>
    </row>
    <row r="100" spans="1:10" s="171" customFormat="1" ht="19.5" customHeight="1">
      <c r="A100" s="358" t="s">
        <v>352</v>
      </c>
      <c r="B100" s="359"/>
      <c r="C100" s="359"/>
      <c r="D100" s="359"/>
      <c r="E100" s="360"/>
      <c r="F100" s="160">
        <v>74</v>
      </c>
      <c r="G100" s="384">
        <f>SUM(G101:H104)</f>
        <v>72002</v>
      </c>
      <c r="H100" s="375"/>
      <c r="I100" s="375">
        <f>SUM(I101:J104)</f>
        <v>9247</v>
      </c>
      <c r="J100" s="376"/>
    </row>
    <row r="101" spans="1:10" s="171" customFormat="1" ht="19.5" customHeight="1">
      <c r="A101" s="138"/>
      <c r="B101" s="361" t="s">
        <v>353</v>
      </c>
      <c r="C101" s="359"/>
      <c r="D101" s="359"/>
      <c r="E101" s="360"/>
      <c r="F101" s="160">
        <v>75</v>
      </c>
      <c r="G101" s="383">
        <v>-280</v>
      </c>
      <c r="H101" s="381"/>
      <c r="I101" s="381">
        <v>0</v>
      </c>
      <c r="J101" s="382"/>
    </row>
    <row r="102" spans="1:10" s="171" customFormat="1" ht="19.5" customHeight="1">
      <c r="A102" s="138"/>
      <c r="B102" s="361" t="s">
        <v>354</v>
      </c>
      <c r="C102" s="359"/>
      <c r="D102" s="359"/>
      <c r="E102" s="360"/>
      <c r="F102" s="160">
        <v>76</v>
      </c>
      <c r="G102" s="383">
        <v>0</v>
      </c>
      <c r="H102" s="381"/>
      <c r="I102" s="381">
        <v>0</v>
      </c>
      <c r="J102" s="382"/>
    </row>
    <row r="103" spans="1:10" s="171" customFormat="1" ht="19.5" customHeight="1">
      <c r="A103" s="138"/>
      <c r="B103" s="361" t="s">
        <v>355</v>
      </c>
      <c r="C103" s="359"/>
      <c r="D103" s="359"/>
      <c r="E103" s="360"/>
      <c r="F103" s="160">
        <v>77</v>
      </c>
      <c r="G103" s="383">
        <v>75674</v>
      </c>
      <c r="H103" s="381"/>
      <c r="I103" s="381">
        <v>10968</v>
      </c>
      <c r="J103" s="382"/>
    </row>
    <row r="104" spans="1:10" s="171" customFormat="1" ht="19.5" customHeight="1">
      <c r="A104" s="138"/>
      <c r="B104" s="361" t="s">
        <v>356</v>
      </c>
      <c r="C104" s="359"/>
      <c r="D104" s="359"/>
      <c r="E104" s="360"/>
      <c r="F104" s="160">
        <v>78</v>
      </c>
      <c r="G104" s="383">
        <v>-3392</v>
      </c>
      <c r="H104" s="381"/>
      <c r="I104" s="381">
        <v>-1721</v>
      </c>
      <c r="J104" s="382"/>
    </row>
    <row r="105" spans="1:10" s="171" customFormat="1" ht="30" customHeight="1">
      <c r="A105" s="358" t="s">
        <v>357</v>
      </c>
      <c r="B105" s="359"/>
      <c r="C105" s="359"/>
      <c r="D105" s="359"/>
      <c r="E105" s="360"/>
      <c r="F105" s="160">
        <v>79</v>
      </c>
      <c r="G105" s="384">
        <f>G80+G93+G100</f>
        <v>7177</v>
      </c>
      <c r="H105" s="375"/>
      <c r="I105" s="375">
        <f>I80+I93+I100</f>
        <v>14697</v>
      </c>
      <c r="J105" s="376"/>
    </row>
    <row r="106" spans="1:10" s="171" customFormat="1" ht="19.5" customHeight="1">
      <c r="A106" s="358" t="s">
        <v>358</v>
      </c>
      <c r="B106" s="359"/>
      <c r="C106" s="359"/>
      <c r="D106" s="359"/>
      <c r="E106" s="360"/>
      <c r="F106" s="160">
        <v>80</v>
      </c>
      <c r="G106" s="344">
        <v>38668</v>
      </c>
      <c r="H106" s="345"/>
      <c r="I106" s="345">
        <v>45326</v>
      </c>
      <c r="J106" s="346"/>
    </row>
    <row r="107" spans="1:10" s="171" customFormat="1" ht="19.5" customHeight="1">
      <c r="A107" s="358" t="s">
        <v>359</v>
      </c>
      <c r="B107" s="359"/>
      <c r="C107" s="359"/>
      <c r="D107" s="359"/>
      <c r="E107" s="360"/>
      <c r="F107" s="160">
        <v>81</v>
      </c>
      <c r="G107" s="384">
        <f>SUM(G105:H106)</f>
        <v>45845</v>
      </c>
      <c r="H107" s="375"/>
      <c r="I107" s="375">
        <f>SUM(I105:J106)</f>
        <v>60023</v>
      </c>
      <c r="J107" s="376"/>
    </row>
    <row r="108" spans="1:10" s="174" customFormat="1" ht="15" customHeight="1">
      <c r="A108" s="172" t="s">
        <v>360</v>
      </c>
      <c r="B108" s="173"/>
      <c r="C108" s="173"/>
      <c r="D108" s="173"/>
      <c r="E108" s="173"/>
      <c r="F108" s="173"/>
      <c r="G108" s="173"/>
      <c r="H108" s="173"/>
      <c r="I108" s="173"/>
      <c r="J108" s="173"/>
    </row>
    <row r="109" spans="1:10" s="68" customFormat="1" ht="15.75" customHeight="1">
      <c r="A109" s="96"/>
      <c r="B109" s="97"/>
      <c r="C109" s="97" t="s">
        <v>122</v>
      </c>
      <c r="D109" s="98" t="str">
        <f>IF(LEN(Tablica_A!$E$9)&gt;3,Tablica_A!$E$9,"Nije upisano")</f>
        <v>PODRAVSKA BANKA d.d.</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217</v>
      </c>
      <c r="D111" s="105" t="str">
        <f>IF(LEN(Tablica_A!$S$5)&gt;3,Tablica_A!$S$5,"Nije upisano")</f>
        <v>03015904</v>
      </c>
      <c r="E111" s="105"/>
      <c r="F111" s="105"/>
      <c r="G111" s="106"/>
      <c r="H111" s="104"/>
      <c r="I111" s="104" t="s">
        <v>218</v>
      </c>
      <c r="J111" s="107" t="str">
        <f>IF(LEN(Tablica_A!$G$7)&gt;3,Tablica_A!$G$7,"Nije upisano")</f>
        <v>2007-06</v>
      </c>
    </row>
    <row r="112" ht="9.75" customHeight="1"/>
    <row r="113" spans="1:10" s="55" customFormat="1" ht="34.5" customHeight="1">
      <c r="A113" s="175" t="s">
        <v>859</v>
      </c>
      <c r="I113" s="273" t="s">
        <v>377</v>
      </c>
      <c r="J113" s="387"/>
    </row>
    <row r="114" spans="1:10" ht="15" customHeight="1">
      <c r="A114" s="131"/>
      <c r="I114" s="388" t="s">
        <v>266</v>
      </c>
      <c r="J114" s="388"/>
    </row>
    <row r="115" spans="1:10" s="135" customFormat="1" ht="30" customHeight="1">
      <c r="A115" s="356" t="s">
        <v>267</v>
      </c>
      <c r="B115" s="356"/>
      <c r="C115" s="356"/>
      <c r="D115" s="356"/>
      <c r="E115" s="356"/>
      <c r="F115" s="132" t="s">
        <v>268</v>
      </c>
      <c r="G115" s="189" t="s">
        <v>691</v>
      </c>
      <c r="H115" s="132" t="s">
        <v>692</v>
      </c>
      <c r="I115" s="132" t="s">
        <v>693</v>
      </c>
      <c r="J115" s="132" t="s">
        <v>332</v>
      </c>
    </row>
    <row r="116" spans="1:10" s="174" customFormat="1" ht="19.5" customHeight="1">
      <c r="A116" s="379" t="s">
        <v>290</v>
      </c>
      <c r="B116" s="369"/>
      <c r="C116" s="369"/>
      <c r="D116" s="369"/>
      <c r="E116" s="380"/>
      <c r="F116" s="160">
        <v>82</v>
      </c>
      <c r="G116" s="190">
        <v>168305</v>
      </c>
      <c r="H116" s="190">
        <v>0</v>
      </c>
      <c r="I116" s="190">
        <v>0</v>
      </c>
      <c r="J116" s="191">
        <f>G116+H116-I116</f>
        <v>168305</v>
      </c>
    </row>
    <row r="117" spans="1:10" s="174" customFormat="1" ht="19.5" customHeight="1">
      <c r="A117" s="379" t="s">
        <v>362</v>
      </c>
      <c r="B117" s="377"/>
      <c r="C117" s="377"/>
      <c r="D117" s="377"/>
      <c r="E117" s="378"/>
      <c r="F117" s="160">
        <v>83</v>
      </c>
      <c r="G117" s="190">
        <v>3015</v>
      </c>
      <c r="H117" s="190">
        <v>0</v>
      </c>
      <c r="I117" s="190">
        <v>0</v>
      </c>
      <c r="J117" s="191">
        <f aca="true" t="shared" si="0" ref="J117:J130">G117+H117-I117</f>
        <v>3015</v>
      </c>
    </row>
    <row r="118" spans="1:10" s="174" customFormat="1" ht="19.5" customHeight="1">
      <c r="A118" s="379" t="s">
        <v>363</v>
      </c>
      <c r="B118" s="377"/>
      <c r="C118" s="377"/>
      <c r="D118" s="377"/>
      <c r="E118" s="378"/>
      <c r="F118" s="160">
        <v>84</v>
      </c>
      <c r="G118" s="190">
        <f>43329-335</f>
        <v>42994</v>
      </c>
      <c r="H118" s="190">
        <v>17715</v>
      </c>
      <c r="I118" s="190">
        <v>454</v>
      </c>
      <c r="J118" s="191">
        <f t="shared" si="0"/>
        <v>60255</v>
      </c>
    </row>
    <row r="119" spans="1:10" s="174" customFormat="1" ht="19.5" customHeight="1">
      <c r="A119" s="379" t="s">
        <v>364</v>
      </c>
      <c r="B119" s="377"/>
      <c r="C119" s="377"/>
      <c r="D119" s="377"/>
      <c r="E119" s="378"/>
      <c r="F119" s="160">
        <v>85</v>
      </c>
      <c r="G119" s="190">
        <v>-4850</v>
      </c>
      <c r="H119" s="190">
        <v>-9401</v>
      </c>
      <c r="I119" s="190">
        <v>-9059</v>
      </c>
      <c r="J119" s="191">
        <f t="shared" si="0"/>
        <v>-5192</v>
      </c>
    </row>
    <row r="120" spans="1:10" s="174" customFormat="1" ht="19.5" customHeight="1">
      <c r="A120" s="379" t="s">
        <v>365</v>
      </c>
      <c r="B120" s="377"/>
      <c r="C120" s="377"/>
      <c r="D120" s="377"/>
      <c r="E120" s="378"/>
      <c r="F120" s="160">
        <v>86</v>
      </c>
      <c r="G120" s="190">
        <v>18565</v>
      </c>
      <c r="H120" s="190">
        <v>0</v>
      </c>
      <c r="I120" s="190">
        <v>18565</v>
      </c>
      <c r="J120" s="191">
        <f t="shared" si="0"/>
        <v>0</v>
      </c>
    </row>
    <row r="121" spans="1:10" s="174" customFormat="1" ht="19.5" customHeight="1">
      <c r="A121" s="379" t="s">
        <v>366</v>
      </c>
      <c r="B121" s="377"/>
      <c r="C121" s="377"/>
      <c r="D121" s="377"/>
      <c r="E121" s="378"/>
      <c r="F121" s="160">
        <v>87</v>
      </c>
      <c r="G121" s="190">
        <v>0</v>
      </c>
      <c r="H121" s="190">
        <v>13493</v>
      </c>
      <c r="I121" s="190">
        <v>0</v>
      </c>
      <c r="J121" s="191">
        <f t="shared" si="0"/>
        <v>13493</v>
      </c>
    </row>
    <row r="122" spans="1:10" s="174" customFormat="1" ht="19.5" customHeight="1">
      <c r="A122" s="379" t="s">
        <v>367</v>
      </c>
      <c r="B122" s="377"/>
      <c r="C122" s="377"/>
      <c r="D122" s="377"/>
      <c r="E122" s="378"/>
      <c r="F122" s="160">
        <v>88</v>
      </c>
      <c r="G122" s="190">
        <v>0</v>
      </c>
      <c r="H122" s="190">
        <v>0</v>
      </c>
      <c r="I122" s="190">
        <v>0</v>
      </c>
      <c r="J122" s="191">
        <f t="shared" si="0"/>
        <v>0</v>
      </c>
    </row>
    <row r="123" spans="1:10" s="174" customFormat="1" ht="19.5" customHeight="1">
      <c r="A123" s="353" t="s">
        <v>368</v>
      </c>
      <c r="B123" s="377"/>
      <c r="C123" s="377"/>
      <c r="D123" s="377"/>
      <c r="E123" s="378"/>
      <c r="F123" s="160">
        <v>89</v>
      </c>
      <c r="G123" s="192">
        <f>SUM(G124:G126)</f>
        <v>335</v>
      </c>
      <c r="H123" s="192">
        <f>SUM(H124:H126)</f>
        <v>34</v>
      </c>
      <c r="I123" s="192">
        <f>SUM(I124:I126)</f>
        <v>109</v>
      </c>
      <c r="J123" s="192">
        <f t="shared" si="0"/>
        <v>260</v>
      </c>
    </row>
    <row r="124" spans="1:10" s="174" customFormat="1" ht="19.5" customHeight="1">
      <c r="A124" s="176"/>
      <c r="B124" s="369" t="s">
        <v>369</v>
      </c>
      <c r="C124" s="370"/>
      <c r="D124" s="370"/>
      <c r="E124" s="371"/>
      <c r="F124" s="160">
        <v>90</v>
      </c>
      <c r="G124" s="190"/>
      <c r="H124" s="190"/>
      <c r="I124" s="190"/>
      <c r="J124" s="191">
        <f t="shared" si="0"/>
        <v>0</v>
      </c>
    </row>
    <row r="125" spans="1:10" s="174" customFormat="1" ht="19.5" customHeight="1">
      <c r="A125" s="176"/>
      <c r="B125" s="369" t="s">
        <v>370</v>
      </c>
      <c r="C125" s="370"/>
      <c r="D125" s="370"/>
      <c r="E125" s="371"/>
      <c r="F125" s="160">
        <v>91</v>
      </c>
      <c r="G125" s="190">
        <v>335</v>
      </c>
      <c r="H125" s="190">
        <v>34</v>
      </c>
      <c r="I125" s="190">
        <v>109</v>
      </c>
      <c r="J125" s="191">
        <f t="shared" si="0"/>
        <v>260</v>
      </c>
    </row>
    <row r="126" spans="1:10" s="174" customFormat="1" ht="19.5" customHeight="1">
      <c r="A126" s="176"/>
      <c r="B126" s="369" t="s">
        <v>371</v>
      </c>
      <c r="C126" s="370"/>
      <c r="D126" s="370"/>
      <c r="E126" s="371"/>
      <c r="F126" s="160">
        <v>92</v>
      </c>
      <c r="G126" s="190"/>
      <c r="H126" s="190"/>
      <c r="I126" s="190"/>
      <c r="J126" s="191">
        <f t="shared" si="0"/>
        <v>0</v>
      </c>
    </row>
    <row r="127" spans="1:10" s="174" customFormat="1" ht="19.5" customHeight="1">
      <c r="A127" s="379" t="s">
        <v>372</v>
      </c>
      <c r="B127" s="377"/>
      <c r="C127" s="377"/>
      <c r="D127" s="377"/>
      <c r="E127" s="378"/>
      <c r="F127" s="160">
        <v>93</v>
      </c>
      <c r="G127" s="190"/>
      <c r="H127" s="190"/>
      <c r="I127" s="190"/>
      <c r="J127" s="191">
        <f t="shared" si="0"/>
        <v>0</v>
      </c>
    </row>
    <row r="128" spans="1:10" s="174" customFormat="1" ht="19.5" customHeight="1">
      <c r="A128" s="379" t="s">
        <v>373</v>
      </c>
      <c r="B128" s="377"/>
      <c r="C128" s="377"/>
      <c r="D128" s="377"/>
      <c r="E128" s="378"/>
      <c r="F128" s="160">
        <v>94</v>
      </c>
      <c r="G128" s="190"/>
      <c r="H128" s="190"/>
      <c r="I128" s="190"/>
      <c r="J128" s="191">
        <f t="shared" si="0"/>
        <v>0</v>
      </c>
    </row>
    <row r="129" spans="1:10" s="174" customFormat="1" ht="19.5" customHeight="1">
      <c r="A129" s="379" t="s">
        <v>374</v>
      </c>
      <c r="B129" s="377"/>
      <c r="C129" s="377"/>
      <c r="D129" s="377"/>
      <c r="E129" s="378"/>
      <c r="F129" s="160">
        <v>95</v>
      </c>
      <c r="G129" s="190"/>
      <c r="H129" s="190"/>
      <c r="I129" s="190"/>
      <c r="J129" s="191">
        <f t="shared" si="0"/>
        <v>0</v>
      </c>
    </row>
    <row r="130" spans="1:10" s="174" customFormat="1" ht="30" customHeight="1">
      <c r="A130" s="353" t="s">
        <v>375</v>
      </c>
      <c r="B130" s="372"/>
      <c r="C130" s="372"/>
      <c r="D130" s="372"/>
      <c r="E130" s="373"/>
      <c r="F130" s="160">
        <v>96</v>
      </c>
      <c r="G130" s="192">
        <f>G116+G117+G118+G119+G120+G121+G122+G123+G127+G128+G129</f>
        <v>228364</v>
      </c>
      <c r="H130" s="192">
        <f>H116+H117+H118+H119+H120+H121+H122+H123+H127+H128+H129</f>
        <v>21841</v>
      </c>
      <c r="I130" s="192">
        <f>I116+I117+I118+I119+I120+I121+I122+I123+I127+I128+I129</f>
        <v>10069</v>
      </c>
      <c r="J130" s="192">
        <f t="shared" si="0"/>
        <v>240136</v>
      </c>
    </row>
    <row r="131" ht="4.5" customHeight="1"/>
    <row r="132" spans="1:10" s="135" customFormat="1" ht="30" customHeight="1">
      <c r="A132" s="356" t="s">
        <v>267</v>
      </c>
      <c r="B132" s="356"/>
      <c r="C132" s="356"/>
      <c r="D132" s="356"/>
      <c r="E132" s="356"/>
      <c r="F132" s="132" t="s">
        <v>268</v>
      </c>
      <c r="G132" s="357" t="s">
        <v>253</v>
      </c>
      <c r="H132" s="342"/>
      <c r="I132" s="342" t="s">
        <v>332</v>
      </c>
      <c r="J132" s="343"/>
    </row>
    <row r="133" spans="1:10" ht="19.5" customHeight="1">
      <c r="A133" s="350" t="s">
        <v>172</v>
      </c>
      <c r="B133" s="351"/>
      <c r="C133" s="351"/>
      <c r="D133" s="351"/>
      <c r="E133" s="352"/>
      <c r="F133" s="160">
        <v>97</v>
      </c>
      <c r="G133" s="344">
        <v>141542</v>
      </c>
      <c r="H133" s="345"/>
      <c r="I133" s="345">
        <v>221499</v>
      </c>
      <c r="J133" s="346"/>
    </row>
    <row r="134" spans="1:10" ht="19.5" customHeight="1">
      <c r="A134" s="353" t="s">
        <v>173</v>
      </c>
      <c r="B134" s="354"/>
      <c r="C134" s="354"/>
      <c r="D134" s="354"/>
      <c r="E134" s="355"/>
      <c r="F134" s="160">
        <v>98</v>
      </c>
      <c r="G134" s="347">
        <v>10.01</v>
      </c>
      <c r="H134" s="348"/>
      <c r="I134" s="348">
        <v>10.96</v>
      </c>
      <c r="J134" s="349"/>
    </row>
    <row r="135" spans="1:10" s="174" customFormat="1" ht="15" customHeight="1">
      <c r="A135" s="172" t="s">
        <v>775</v>
      </c>
      <c r="B135" s="173"/>
      <c r="C135" s="173"/>
      <c r="D135" s="173"/>
      <c r="E135" s="173"/>
      <c r="F135" s="173"/>
      <c r="G135" s="173"/>
      <c r="H135" s="173"/>
      <c r="I135" s="173"/>
      <c r="J135" s="173"/>
    </row>
  </sheetData>
  <sheetProtection password="C79A" sheet="1" objects="1" scenarios="1"/>
  <mergeCells count="221">
    <mergeCell ref="I42:J42"/>
    <mergeCell ref="I78:J78"/>
    <mergeCell ref="I114:J114"/>
    <mergeCell ref="B126:E126"/>
    <mergeCell ref="A64:E64"/>
    <mergeCell ref="I77:J77"/>
    <mergeCell ref="I113:J113"/>
    <mergeCell ref="A43:E44"/>
    <mergeCell ref="F43:F44"/>
    <mergeCell ref="G43:H43"/>
    <mergeCell ref="A127:E127"/>
    <mergeCell ref="A128:E128"/>
    <mergeCell ref="A129:E129"/>
    <mergeCell ref="B65:E65"/>
    <mergeCell ref="A68:E68"/>
    <mergeCell ref="A69:E69"/>
    <mergeCell ref="B104:E104"/>
    <mergeCell ref="A106:E106"/>
    <mergeCell ref="A121:E121"/>
    <mergeCell ref="A122:E122"/>
    <mergeCell ref="G16:H16"/>
    <mergeCell ref="G28:H28"/>
    <mergeCell ref="I28:J28"/>
    <mergeCell ref="G22:H22"/>
    <mergeCell ref="G23:H23"/>
    <mergeCell ref="G17:H17"/>
    <mergeCell ref="G18:H18"/>
    <mergeCell ref="G27:H27"/>
    <mergeCell ref="G25:H25"/>
    <mergeCell ref="G19:H19"/>
    <mergeCell ref="I43:J43"/>
    <mergeCell ref="B83:E83"/>
    <mergeCell ref="B60:E60"/>
    <mergeCell ref="A59:E59"/>
    <mergeCell ref="A63:E63"/>
    <mergeCell ref="B61:E61"/>
    <mergeCell ref="B62:E62"/>
    <mergeCell ref="A79:E79"/>
    <mergeCell ref="G79:H79"/>
    <mergeCell ref="I82:J82"/>
    <mergeCell ref="I10:J10"/>
    <mergeCell ref="I17:J17"/>
    <mergeCell ref="I22:J22"/>
    <mergeCell ref="I23:J23"/>
    <mergeCell ref="I11:J11"/>
    <mergeCell ref="I12:J12"/>
    <mergeCell ref="I14:J14"/>
    <mergeCell ref="I15:J15"/>
    <mergeCell ref="I13:J13"/>
    <mergeCell ref="I18:J18"/>
    <mergeCell ref="I41:J41"/>
    <mergeCell ref="I21:J21"/>
    <mergeCell ref="I24:J24"/>
    <mergeCell ref="I25:J25"/>
    <mergeCell ref="I29:J29"/>
    <mergeCell ref="I33:J33"/>
    <mergeCell ref="I26:J26"/>
    <mergeCell ref="I30:J30"/>
    <mergeCell ref="I31:J31"/>
    <mergeCell ref="G29:H29"/>
    <mergeCell ref="G24:H24"/>
    <mergeCell ref="I19:J19"/>
    <mergeCell ref="I20:J20"/>
    <mergeCell ref="G20:H20"/>
    <mergeCell ref="G21:H21"/>
    <mergeCell ref="I27:J27"/>
    <mergeCell ref="G14:H14"/>
    <mergeCell ref="I16:J16"/>
    <mergeCell ref="G15:H15"/>
    <mergeCell ref="G8:H8"/>
    <mergeCell ref="I8:J8"/>
    <mergeCell ref="G9:H9"/>
    <mergeCell ref="I9:J9"/>
    <mergeCell ref="G10:H10"/>
    <mergeCell ref="G11:H11"/>
    <mergeCell ref="G12:H12"/>
    <mergeCell ref="G13:H13"/>
    <mergeCell ref="I5:J5"/>
    <mergeCell ref="A7:E7"/>
    <mergeCell ref="G7:H7"/>
    <mergeCell ref="I7:J7"/>
    <mergeCell ref="I6:J6"/>
    <mergeCell ref="A8:E8"/>
    <mergeCell ref="B9:E9"/>
    <mergeCell ref="B10:E10"/>
    <mergeCell ref="B11:E11"/>
    <mergeCell ref="I79:J79"/>
    <mergeCell ref="B21:E21"/>
    <mergeCell ref="B22:E22"/>
    <mergeCell ref="A34:J34"/>
    <mergeCell ref="G26:H26"/>
    <mergeCell ref="G33:H33"/>
    <mergeCell ref="G30:H30"/>
    <mergeCell ref="G31:H31"/>
    <mergeCell ref="G32:H32"/>
    <mergeCell ref="I32:J32"/>
    <mergeCell ref="G80:H80"/>
    <mergeCell ref="I80:J80"/>
    <mergeCell ref="I81:J81"/>
    <mergeCell ref="I93:J93"/>
    <mergeCell ref="G92:H92"/>
    <mergeCell ref="I92:J92"/>
    <mergeCell ref="G90:H90"/>
    <mergeCell ref="G85:H85"/>
    <mergeCell ref="G86:H86"/>
    <mergeCell ref="G81:H81"/>
    <mergeCell ref="I106:J106"/>
    <mergeCell ref="G105:H105"/>
    <mergeCell ref="I105:J105"/>
    <mergeCell ref="I104:J104"/>
    <mergeCell ref="G104:H104"/>
    <mergeCell ref="G107:H107"/>
    <mergeCell ref="G106:H106"/>
    <mergeCell ref="G93:H93"/>
    <mergeCell ref="G88:H88"/>
    <mergeCell ref="G89:H89"/>
    <mergeCell ref="G101:H101"/>
    <mergeCell ref="G96:H96"/>
    <mergeCell ref="G97:H97"/>
    <mergeCell ref="G98:H98"/>
    <mergeCell ref="G99:H99"/>
    <mergeCell ref="G82:H82"/>
    <mergeCell ref="G83:H83"/>
    <mergeCell ref="G84:H84"/>
    <mergeCell ref="I86:J86"/>
    <mergeCell ref="I83:J83"/>
    <mergeCell ref="I84:J84"/>
    <mergeCell ref="I85:J85"/>
    <mergeCell ref="G87:H87"/>
    <mergeCell ref="I87:J87"/>
    <mergeCell ref="G91:H91"/>
    <mergeCell ref="I91:J91"/>
    <mergeCell ref="I90:J90"/>
    <mergeCell ref="I88:J88"/>
    <mergeCell ref="I89:J89"/>
    <mergeCell ref="I94:J94"/>
    <mergeCell ref="G95:H95"/>
    <mergeCell ref="I95:J95"/>
    <mergeCell ref="I97:J97"/>
    <mergeCell ref="I96:J96"/>
    <mergeCell ref="G94:H94"/>
    <mergeCell ref="I98:J98"/>
    <mergeCell ref="I99:J99"/>
    <mergeCell ref="G100:H100"/>
    <mergeCell ref="I100:J100"/>
    <mergeCell ref="I101:J101"/>
    <mergeCell ref="G102:H102"/>
    <mergeCell ref="I102:J102"/>
    <mergeCell ref="G103:H103"/>
    <mergeCell ref="I103:J103"/>
    <mergeCell ref="I107:J107"/>
    <mergeCell ref="B124:E124"/>
    <mergeCell ref="A115:E115"/>
    <mergeCell ref="A123:E123"/>
    <mergeCell ref="A118:E118"/>
    <mergeCell ref="A119:E119"/>
    <mergeCell ref="A117:E117"/>
    <mergeCell ref="A116:E116"/>
    <mergeCell ref="A107:E107"/>
    <mergeCell ref="A120:E120"/>
    <mergeCell ref="B125:E125"/>
    <mergeCell ref="A130:E130"/>
    <mergeCell ref="B12:E12"/>
    <mergeCell ref="B13:E13"/>
    <mergeCell ref="B14:E14"/>
    <mergeCell ref="B15:E15"/>
    <mergeCell ref="B16:E16"/>
    <mergeCell ref="B17:E17"/>
    <mergeCell ref="B18:E18"/>
    <mergeCell ref="B20:E20"/>
    <mergeCell ref="A45:E45"/>
    <mergeCell ref="A50:E50"/>
    <mergeCell ref="A55:E55"/>
    <mergeCell ref="A56:E56"/>
    <mergeCell ref="B46:E46"/>
    <mergeCell ref="B47:E47"/>
    <mergeCell ref="B48:E48"/>
    <mergeCell ref="B49:E49"/>
    <mergeCell ref="B51:E51"/>
    <mergeCell ref="B52:E52"/>
    <mergeCell ref="B53:E53"/>
    <mergeCell ref="B54:E54"/>
    <mergeCell ref="B57:E57"/>
    <mergeCell ref="B58:E58"/>
    <mergeCell ref="B66:E66"/>
    <mergeCell ref="B70:E70"/>
    <mergeCell ref="B81:E81"/>
    <mergeCell ref="B82:E82"/>
    <mergeCell ref="A67:E67"/>
    <mergeCell ref="A71:E71"/>
    <mergeCell ref="B84:E84"/>
    <mergeCell ref="B85:E85"/>
    <mergeCell ref="B86:E86"/>
    <mergeCell ref="B87:E87"/>
    <mergeCell ref="B97:E97"/>
    <mergeCell ref="B98:E98"/>
    <mergeCell ref="B88:E88"/>
    <mergeCell ref="B89:E89"/>
    <mergeCell ref="B90:E90"/>
    <mergeCell ref="B91:E91"/>
    <mergeCell ref="B92:E92"/>
    <mergeCell ref="B94:E94"/>
    <mergeCell ref="A105:E105"/>
    <mergeCell ref="A100:E100"/>
    <mergeCell ref="A93:E93"/>
    <mergeCell ref="A80:E80"/>
    <mergeCell ref="B99:E99"/>
    <mergeCell ref="B101:E101"/>
    <mergeCell ref="B102:E102"/>
    <mergeCell ref="B103:E103"/>
    <mergeCell ref="B95:E95"/>
    <mergeCell ref="B96:E96"/>
    <mergeCell ref="A133:E133"/>
    <mergeCell ref="A134:E134"/>
    <mergeCell ref="A132:E132"/>
    <mergeCell ref="G132:H132"/>
    <mergeCell ref="I132:J132"/>
    <mergeCell ref="G133:H133"/>
    <mergeCell ref="I133:J133"/>
    <mergeCell ref="G134:H134"/>
    <mergeCell ref="I134:J134"/>
  </mergeCells>
  <dataValidations count="3">
    <dataValidation type="whole" operator="notEqual" allowBlank="1" showErrorMessage="1" errorTitle="Neispravan unos" error="Vrijednost mora biti cjelobrojna i numerička, ako je vrijednost nula, upišite nulu ili ostavite ćeliju potpuno praznu" sqref="H116:J122 I130 G80:J107 G45:J71 G116:G130 I123 H124:J129 G8:J33">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K40" sqref="K4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376</v>
      </c>
      <c r="H1" s="57"/>
      <c r="Q1" s="273" t="s">
        <v>377</v>
      </c>
      <c r="R1" s="274"/>
      <c r="S1" s="274"/>
      <c r="T1" s="274"/>
      <c r="U1" s="27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122</v>
      </c>
      <c r="D4" s="97"/>
      <c r="E4" s="98" t="str">
        <f>IF(LEN(Tablica_A!$E$9)&gt;3,Tablica_A!$E$9,"Nije upisano")</f>
        <v>PODRAVSKA BANKA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217</v>
      </c>
      <c r="D6" s="104"/>
      <c r="E6" s="105" t="str">
        <f>IF(LEN(Tablica_A!$S$5)&gt;3,Tablica_A!$S$5,"Nije upisano")</f>
        <v>03015904</v>
      </c>
      <c r="F6" s="105"/>
      <c r="G6" s="105"/>
      <c r="H6" s="106"/>
      <c r="I6" s="106"/>
      <c r="J6" s="104"/>
      <c r="K6" s="104" t="s">
        <v>218</v>
      </c>
      <c r="L6" s="106"/>
      <c r="M6" s="105" t="str">
        <f>IF(LEN(Tablica_A!$G$7)&gt;3,Tablica_A!$G$7,"Nije upisano")</f>
        <v>2007-06</v>
      </c>
      <c r="N6" s="105"/>
      <c r="O6" s="105"/>
      <c r="P6" s="106"/>
      <c r="Q6" s="106"/>
      <c r="R6" s="106"/>
      <c r="S6" s="106"/>
      <c r="T6" s="106"/>
      <c r="U6" s="108"/>
    </row>
    <row r="7" spans="1:21" s="79" customFormat="1" ht="15">
      <c r="A7" s="186" t="s">
        <v>699</v>
      </c>
      <c r="B7" s="177"/>
      <c r="C7" s="178"/>
      <c r="D7" s="178"/>
      <c r="E7" s="177"/>
      <c r="S7" s="198" t="s">
        <v>694</v>
      </c>
      <c r="U7" s="198">
        <f>LEN(A8)</f>
        <v>50</v>
      </c>
    </row>
    <row r="8" spans="1:21" s="72" customFormat="1" ht="60" customHeight="1">
      <c r="A8" s="403" t="s">
        <v>833</v>
      </c>
      <c r="B8" s="404"/>
      <c r="C8" s="404"/>
      <c r="D8" s="404"/>
      <c r="E8" s="404"/>
      <c r="F8" s="404"/>
      <c r="G8" s="404"/>
      <c r="H8" s="404"/>
      <c r="I8" s="404"/>
      <c r="J8" s="404"/>
      <c r="K8" s="404"/>
      <c r="L8" s="404"/>
      <c r="M8" s="404"/>
      <c r="N8" s="404"/>
      <c r="O8" s="404"/>
      <c r="P8" s="404"/>
      <c r="Q8" s="404"/>
      <c r="R8" s="404"/>
      <c r="S8" s="404"/>
      <c r="T8" s="404"/>
      <c r="U8" s="405"/>
    </row>
    <row r="9" spans="1:21" s="72" customFormat="1" ht="15">
      <c r="A9" s="184" t="s">
        <v>700</v>
      </c>
      <c r="B9" s="179"/>
      <c r="C9" s="179"/>
      <c r="D9" s="179"/>
      <c r="E9" s="179"/>
      <c r="F9" s="180"/>
      <c r="G9" s="180"/>
      <c r="H9" s="180"/>
      <c r="I9" s="180"/>
      <c r="J9" s="180"/>
      <c r="K9" s="180"/>
      <c r="L9" s="180"/>
      <c r="M9" s="180"/>
      <c r="N9" s="180"/>
      <c r="O9" s="180"/>
      <c r="P9" s="180"/>
      <c r="Q9" s="180"/>
      <c r="S9" s="198" t="s">
        <v>694</v>
      </c>
      <c r="T9" s="79"/>
      <c r="U9" s="198">
        <f>LEN(A10)</f>
        <v>69</v>
      </c>
    </row>
    <row r="10" spans="1:21" s="72" customFormat="1" ht="60" customHeight="1">
      <c r="A10" s="403" t="s">
        <v>793</v>
      </c>
      <c r="B10" s="404"/>
      <c r="C10" s="404"/>
      <c r="D10" s="404"/>
      <c r="E10" s="404"/>
      <c r="F10" s="404"/>
      <c r="G10" s="404"/>
      <c r="H10" s="404"/>
      <c r="I10" s="404"/>
      <c r="J10" s="404"/>
      <c r="K10" s="404"/>
      <c r="L10" s="404"/>
      <c r="M10" s="404"/>
      <c r="N10" s="404"/>
      <c r="O10" s="404"/>
      <c r="P10" s="404"/>
      <c r="Q10" s="404"/>
      <c r="R10" s="404"/>
      <c r="S10" s="404"/>
      <c r="T10" s="404"/>
      <c r="U10" s="405"/>
    </row>
    <row r="11" spans="1:21" s="72" customFormat="1" ht="15">
      <c r="A11" s="184" t="s">
        <v>701</v>
      </c>
      <c r="B11" s="181"/>
      <c r="C11" s="181"/>
      <c r="D11" s="181"/>
      <c r="E11" s="181"/>
      <c r="F11" s="180"/>
      <c r="G11" s="180"/>
      <c r="H11" s="180"/>
      <c r="I11" s="180"/>
      <c r="J11" s="180"/>
      <c r="K11" s="180"/>
      <c r="L11" s="180"/>
      <c r="M11" s="180"/>
      <c r="N11" s="180"/>
      <c r="O11" s="180"/>
      <c r="S11" s="198" t="s">
        <v>694</v>
      </c>
      <c r="T11" s="79"/>
      <c r="U11" s="198">
        <f>LEN(A12)</f>
        <v>75</v>
      </c>
    </row>
    <row r="12" spans="1:21" s="72" customFormat="1" ht="60" customHeight="1">
      <c r="A12" s="403" t="s">
        <v>798</v>
      </c>
      <c r="B12" s="404"/>
      <c r="C12" s="404"/>
      <c r="D12" s="404"/>
      <c r="E12" s="404"/>
      <c r="F12" s="404"/>
      <c r="G12" s="404"/>
      <c r="H12" s="404"/>
      <c r="I12" s="404"/>
      <c r="J12" s="404"/>
      <c r="K12" s="404"/>
      <c r="L12" s="404"/>
      <c r="M12" s="404"/>
      <c r="N12" s="404"/>
      <c r="O12" s="404"/>
      <c r="P12" s="404"/>
      <c r="Q12" s="404"/>
      <c r="R12" s="404"/>
      <c r="S12" s="404"/>
      <c r="T12" s="404"/>
      <c r="U12" s="405"/>
    </row>
    <row r="13" spans="1:21" s="72" customFormat="1" ht="15">
      <c r="A13" s="184" t="s">
        <v>702</v>
      </c>
      <c r="B13" s="179"/>
      <c r="C13" s="179"/>
      <c r="D13" s="179"/>
      <c r="E13" s="179"/>
      <c r="F13" s="180"/>
      <c r="G13" s="180"/>
      <c r="H13" s="180"/>
      <c r="I13" s="180"/>
      <c r="J13" s="180"/>
      <c r="K13" s="180"/>
      <c r="L13" s="180"/>
      <c r="M13" s="180"/>
      <c r="S13" s="198" t="s">
        <v>694</v>
      </c>
      <c r="T13" s="79"/>
      <c r="U13" s="198">
        <f>LEN(A14)</f>
        <v>57</v>
      </c>
    </row>
    <row r="14" spans="1:21" s="72" customFormat="1" ht="60" customHeight="1">
      <c r="A14" s="403" t="s">
        <v>799</v>
      </c>
      <c r="B14" s="404"/>
      <c r="C14" s="404"/>
      <c r="D14" s="404"/>
      <c r="E14" s="404"/>
      <c r="F14" s="404"/>
      <c r="G14" s="404"/>
      <c r="H14" s="404"/>
      <c r="I14" s="404"/>
      <c r="J14" s="404"/>
      <c r="K14" s="404"/>
      <c r="L14" s="404"/>
      <c r="M14" s="404"/>
      <c r="N14" s="404"/>
      <c r="O14" s="404"/>
      <c r="P14" s="404"/>
      <c r="Q14" s="404"/>
      <c r="R14" s="404"/>
      <c r="S14" s="404"/>
      <c r="T14" s="404"/>
      <c r="U14" s="405"/>
    </row>
    <row r="15" spans="1:21" s="72" customFormat="1" ht="15">
      <c r="A15" s="187" t="s">
        <v>703</v>
      </c>
      <c r="B15" s="182"/>
      <c r="C15" s="182"/>
      <c r="D15" s="182"/>
      <c r="E15" s="183"/>
      <c r="U15" s="198">
        <f>LEN(A16)</f>
        <v>328</v>
      </c>
    </row>
    <row r="16" spans="1:21" s="72" customFormat="1" ht="60" customHeight="1">
      <c r="A16" s="403" t="s">
        <v>63</v>
      </c>
      <c r="B16" s="404"/>
      <c r="C16" s="404"/>
      <c r="D16" s="404"/>
      <c r="E16" s="404"/>
      <c r="F16" s="404"/>
      <c r="G16" s="404"/>
      <c r="H16" s="404"/>
      <c r="I16" s="404"/>
      <c r="J16" s="404"/>
      <c r="K16" s="404"/>
      <c r="L16" s="404"/>
      <c r="M16" s="404"/>
      <c r="N16" s="404"/>
      <c r="O16" s="404"/>
      <c r="P16" s="404"/>
      <c r="Q16" s="404"/>
      <c r="R16" s="404"/>
      <c r="S16" s="404"/>
      <c r="T16" s="404"/>
      <c r="U16" s="405"/>
    </row>
    <row r="17" spans="1:21" s="72" customFormat="1" ht="15">
      <c r="A17" s="186" t="s">
        <v>704</v>
      </c>
      <c r="B17" s="185"/>
      <c r="C17" s="185"/>
      <c r="D17" s="185"/>
      <c r="E17" s="185"/>
      <c r="F17" s="79"/>
      <c r="G17" s="79"/>
      <c r="S17" s="198" t="s">
        <v>694</v>
      </c>
      <c r="T17" s="79"/>
      <c r="U17" s="198">
        <f>LEN(A18)</f>
        <v>276</v>
      </c>
    </row>
    <row r="18" spans="1:21" s="72" customFormat="1" ht="60" customHeight="1">
      <c r="A18" s="403" t="s">
        <v>800</v>
      </c>
      <c r="B18" s="404"/>
      <c r="C18" s="404"/>
      <c r="D18" s="404"/>
      <c r="E18" s="404"/>
      <c r="F18" s="404"/>
      <c r="G18" s="404"/>
      <c r="H18" s="404"/>
      <c r="I18" s="404"/>
      <c r="J18" s="404"/>
      <c r="K18" s="404"/>
      <c r="L18" s="404"/>
      <c r="M18" s="404"/>
      <c r="N18" s="404"/>
      <c r="O18" s="404"/>
      <c r="P18" s="404"/>
      <c r="Q18" s="404"/>
      <c r="R18" s="404"/>
      <c r="S18" s="404"/>
      <c r="T18" s="404"/>
      <c r="U18" s="405"/>
    </row>
    <row r="19" spans="1:21" s="72" customFormat="1" ht="15">
      <c r="A19" s="186" t="s">
        <v>714</v>
      </c>
      <c r="B19" s="185"/>
      <c r="C19" s="185"/>
      <c r="D19" s="185"/>
      <c r="E19" s="185"/>
      <c r="F19" s="79"/>
      <c r="G19" s="79"/>
      <c r="S19" s="198" t="s">
        <v>694</v>
      </c>
      <c r="T19" s="79"/>
      <c r="U19" s="198">
        <f>LEN(A20)</f>
        <v>187</v>
      </c>
    </row>
    <row r="20" spans="1:21" s="72" customFormat="1" ht="60" customHeight="1">
      <c r="A20" s="403" t="s">
        <v>801</v>
      </c>
      <c r="B20" s="404"/>
      <c r="C20" s="404"/>
      <c r="D20" s="404"/>
      <c r="E20" s="404"/>
      <c r="F20" s="404"/>
      <c r="G20" s="404"/>
      <c r="H20" s="404"/>
      <c r="I20" s="404"/>
      <c r="J20" s="404"/>
      <c r="K20" s="404"/>
      <c r="L20" s="404"/>
      <c r="M20" s="404"/>
      <c r="N20" s="404"/>
      <c r="O20" s="404"/>
      <c r="P20" s="404"/>
      <c r="Q20" s="404"/>
      <c r="R20" s="404"/>
      <c r="S20" s="404"/>
      <c r="T20" s="404"/>
      <c r="U20" s="405"/>
    </row>
    <row r="21" spans="1:21" s="72" customFormat="1" ht="15">
      <c r="A21" s="186" t="s">
        <v>705</v>
      </c>
      <c r="B21" s="185"/>
      <c r="C21" s="185"/>
      <c r="D21" s="185"/>
      <c r="E21" s="185"/>
      <c r="F21" s="79"/>
      <c r="G21" s="79"/>
      <c r="S21" s="198" t="s">
        <v>694</v>
      </c>
      <c r="T21" s="79"/>
      <c r="U21" s="198">
        <f>LEN(A22)</f>
        <v>220</v>
      </c>
    </row>
    <row r="22" spans="1:21" s="72" customFormat="1" ht="60" customHeight="1">
      <c r="A22" s="403" t="s">
        <v>802</v>
      </c>
      <c r="B22" s="404"/>
      <c r="C22" s="404"/>
      <c r="D22" s="404"/>
      <c r="E22" s="404"/>
      <c r="F22" s="404"/>
      <c r="G22" s="404"/>
      <c r="H22" s="404"/>
      <c r="I22" s="404"/>
      <c r="J22" s="404"/>
      <c r="K22" s="404"/>
      <c r="L22" s="404"/>
      <c r="M22" s="404"/>
      <c r="N22" s="404"/>
      <c r="O22" s="404"/>
      <c r="P22" s="404"/>
      <c r="Q22" s="404"/>
      <c r="R22" s="404"/>
      <c r="S22" s="404"/>
      <c r="T22" s="404"/>
      <c r="U22" s="405"/>
    </row>
    <row r="23" spans="1:21" s="72" customFormat="1" ht="15">
      <c r="A23" s="186" t="s">
        <v>706</v>
      </c>
      <c r="B23" s="185"/>
      <c r="C23" s="185"/>
      <c r="D23" s="185"/>
      <c r="E23" s="185"/>
      <c r="F23" s="79"/>
      <c r="G23" s="79"/>
      <c r="S23" s="198" t="s">
        <v>694</v>
      </c>
      <c r="T23" s="79"/>
      <c r="U23" s="198">
        <f>LEN(A24)</f>
        <v>280</v>
      </c>
    </row>
    <row r="24" spans="1:21" s="72" customFormat="1" ht="60" customHeight="1">
      <c r="A24" s="403" t="s">
        <v>794</v>
      </c>
      <c r="B24" s="404"/>
      <c r="C24" s="404"/>
      <c r="D24" s="404"/>
      <c r="E24" s="404"/>
      <c r="F24" s="404"/>
      <c r="G24" s="404"/>
      <c r="H24" s="404"/>
      <c r="I24" s="404"/>
      <c r="J24" s="404"/>
      <c r="K24" s="404"/>
      <c r="L24" s="404"/>
      <c r="M24" s="404"/>
      <c r="N24" s="404"/>
      <c r="O24" s="404"/>
      <c r="P24" s="404"/>
      <c r="Q24" s="404"/>
      <c r="R24" s="404"/>
      <c r="S24" s="404"/>
      <c r="T24" s="404"/>
      <c r="U24" s="405"/>
    </row>
    <row r="25" spans="1:21" s="72" customFormat="1" ht="15">
      <c r="A25" s="186" t="s">
        <v>707</v>
      </c>
      <c r="B25" s="185"/>
      <c r="C25" s="185"/>
      <c r="D25" s="185"/>
      <c r="E25" s="185"/>
      <c r="F25" s="79"/>
      <c r="G25" s="79"/>
      <c r="S25" s="198" t="s">
        <v>694</v>
      </c>
      <c r="T25" s="79"/>
      <c r="U25" s="198">
        <f>LEN(A26)</f>
        <v>120</v>
      </c>
    </row>
    <row r="26" spans="1:21" s="72" customFormat="1" ht="60" customHeight="1">
      <c r="A26" s="403" t="s">
        <v>797</v>
      </c>
      <c r="B26" s="404"/>
      <c r="C26" s="404"/>
      <c r="D26" s="404"/>
      <c r="E26" s="404"/>
      <c r="F26" s="404"/>
      <c r="G26" s="404"/>
      <c r="H26" s="404"/>
      <c r="I26" s="404"/>
      <c r="J26" s="404"/>
      <c r="K26" s="404"/>
      <c r="L26" s="404"/>
      <c r="M26" s="404"/>
      <c r="N26" s="404"/>
      <c r="O26" s="404"/>
      <c r="P26" s="404"/>
      <c r="Q26" s="404"/>
      <c r="R26" s="404"/>
      <c r="S26" s="404"/>
      <c r="T26" s="404"/>
      <c r="U26" s="405"/>
    </row>
    <row r="27" spans="1:21" s="72" customFormat="1" ht="15">
      <c r="A27" s="186" t="s">
        <v>708</v>
      </c>
      <c r="B27" s="185"/>
      <c r="C27" s="185"/>
      <c r="D27" s="185"/>
      <c r="E27" s="185"/>
      <c r="F27" s="79"/>
      <c r="G27" s="79"/>
      <c r="S27" s="198" t="s">
        <v>694</v>
      </c>
      <c r="T27" s="79"/>
      <c r="U27" s="198">
        <f>LEN(A28)</f>
        <v>219</v>
      </c>
    </row>
    <row r="28" spans="1:21" s="72" customFormat="1" ht="60" customHeight="1">
      <c r="A28" s="403" t="s">
        <v>795</v>
      </c>
      <c r="B28" s="404"/>
      <c r="C28" s="404"/>
      <c r="D28" s="404"/>
      <c r="E28" s="404"/>
      <c r="F28" s="404"/>
      <c r="G28" s="404"/>
      <c r="H28" s="404"/>
      <c r="I28" s="404"/>
      <c r="J28" s="404"/>
      <c r="K28" s="404"/>
      <c r="L28" s="404"/>
      <c r="M28" s="404"/>
      <c r="N28" s="404"/>
      <c r="O28" s="404"/>
      <c r="P28" s="404"/>
      <c r="Q28" s="404"/>
      <c r="R28" s="404"/>
      <c r="S28" s="404"/>
      <c r="T28" s="404"/>
      <c r="U28" s="405"/>
    </row>
    <row r="29" spans="1:21" s="72" customFormat="1" ht="15">
      <c r="A29" s="186" t="s">
        <v>709</v>
      </c>
      <c r="B29" s="185"/>
      <c r="C29" s="185"/>
      <c r="D29" s="185"/>
      <c r="E29" s="185"/>
      <c r="F29" s="79"/>
      <c r="G29" s="79"/>
      <c r="S29" s="198" t="s">
        <v>694</v>
      </c>
      <c r="T29" s="79"/>
      <c r="U29" s="198">
        <f>LEN(A30)</f>
        <v>49</v>
      </c>
    </row>
    <row r="30" spans="1:21" s="72" customFormat="1" ht="60" customHeight="1">
      <c r="A30" s="403" t="s">
        <v>62</v>
      </c>
      <c r="B30" s="404"/>
      <c r="C30" s="404"/>
      <c r="D30" s="404"/>
      <c r="E30" s="404"/>
      <c r="F30" s="404"/>
      <c r="G30" s="404"/>
      <c r="H30" s="404"/>
      <c r="I30" s="404"/>
      <c r="J30" s="404"/>
      <c r="K30" s="404"/>
      <c r="L30" s="404"/>
      <c r="M30" s="404"/>
      <c r="N30" s="404"/>
      <c r="O30" s="404"/>
      <c r="P30" s="404"/>
      <c r="Q30" s="404"/>
      <c r="R30" s="404"/>
      <c r="S30" s="404"/>
      <c r="T30" s="404"/>
      <c r="U30" s="405"/>
    </row>
    <row r="31" spans="1:21" s="72" customFormat="1" ht="15">
      <c r="A31" s="186" t="s">
        <v>710</v>
      </c>
      <c r="B31" s="177"/>
      <c r="C31" s="177"/>
      <c r="D31" s="177"/>
      <c r="E31" s="177"/>
      <c r="F31" s="79"/>
      <c r="G31" s="79"/>
      <c r="S31" s="198" t="s">
        <v>694</v>
      </c>
      <c r="T31" s="79"/>
      <c r="U31" s="198">
        <f>LEN(A32)</f>
        <v>189</v>
      </c>
    </row>
    <row r="32" spans="1:21" s="72" customFormat="1" ht="60" customHeight="1">
      <c r="A32" s="403" t="s">
        <v>803</v>
      </c>
      <c r="B32" s="404"/>
      <c r="C32" s="404"/>
      <c r="D32" s="404"/>
      <c r="E32" s="404"/>
      <c r="F32" s="404"/>
      <c r="G32" s="404"/>
      <c r="H32" s="404"/>
      <c r="I32" s="404"/>
      <c r="J32" s="404"/>
      <c r="K32" s="404"/>
      <c r="L32" s="404"/>
      <c r="M32" s="404"/>
      <c r="N32" s="404"/>
      <c r="O32" s="404"/>
      <c r="P32" s="404"/>
      <c r="Q32" s="404"/>
      <c r="R32" s="404"/>
      <c r="S32" s="404"/>
      <c r="T32" s="404"/>
      <c r="U32" s="405"/>
    </row>
    <row r="33" spans="1:21" s="72" customFormat="1" ht="15">
      <c r="A33" s="186" t="s">
        <v>713</v>
      </c>
      <c r="B33" s="177"/>
      <c r="C33" s="177"/>
      <c r="D33" s="177"/>
      <c r="E33" s="177"/>
      <c r="F33" s="79"/>
      <c r="G33" s="79"/>
      <c r="S33" s="198" t="s">
        <v>694</v>
      </c>
      <c r="T33" s="79"/>
      <c r="U33" s="198">
        <f>LEN(A34)</f>
        <v>104</v>
      </c>
    </row>
    <row r="34" spans="1:21" s="72" customFormat="1" ht="60" customHeight="1">
      <c r="A34" s="403" t="s">
        <v>796</v>
      </c>
      <c r="B34" s="404"/>
      <c r="C34" s="404"/>
      <c r="D34" s="404"/>
      <c r="E34" s="404"/>
      <c r="F34" s="404"/>
      <c r="G34" s="404"/>
      <c r="H34" s="404"/>
      <c r="I34" s="404"/>
      <c r="J34" s="404"/>
      <c r="K34" s="404"/>
      <c r="L34" s="404"/>
      <c r="M34" s="404"/>
      <c r="N34" s="404"/>
      <c r="O34" s="404"/>
      <c r="P34" s="404"/>
      <c r="Q34" s="404"/>
      <c r="R34" s="404"/>
      <c r="S34" s="404"/>
      <c r="T34" s="404"/>
      <c r="U34" s="405"/>
    </row>
    <row r="35" ht="3.75" customHeight="1"/>
    <row r="36" spans="1:21" ht="45" customHeight="1">
      <c r="A36" s="406" t="s">
        <v>715</v>
      </c>
      <c r="B36" s="407"/>
      <c r="C36" s="407"/>
      <c r="D36" s="407"/>
      <c r="E36" s="407"/>
      <c r="F36" s="407"/>
      <c r="G36" s="407"/>
      <c r="H36" s="407"/>
      <c r="I36" s="407"/>
      <c r="J36" s="407"/>
      <c r="K36" s="407"/>
      <c r="L36" s="407"/>
      <c r="M36" s="407"/>
      <c r="N36" s="407"/>
      <c r="O36" s="407"/>
      <c r="P36" s="407"/>
      <c r="Q36" s="407"/>
      <c r="R36" s="407"/>
      <c r="S36" s="407"/>
      <c r="T36" s="407"/>
      <c r="U36" s="407"/>
    </row>
    <row r="37" spans="1:21" ht="42" customHeight="1">
      <c r="A37" s="403"/>
      <c r="B37" s="404"/>
      <c r="C37" s="404"/>
      <c r="D37" s="404"/>
      <c r="E37" s="404"/>
      <c r="F37" s="404"/>
      <c r="G37" s="404"/>
      <c r="H37" s="404"/>
      <c r="I37" s="404"/>
      <c r="J37" s="404"/>
      <c r="K37" s="404"/>
      <c r="L37" s="404"/>
      <c r="M37" s="404"/>
      <c r="N37" s="404"/>
      <c r="O37" s="404"/>
      <c r="P37" s="404"/>
      <c r="Q37" s="404"/>
      <c r="R37" s="404"/>
      <c r="S37" s="404"/>
      <c r="T37" s="404"/>
      <c r="U37" s="405"/>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37:U37 A28:U28 A30:U30 A32:U32 A34:U34 A26:U26">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5" sqref="B5"/>
    </sheetView>
  </sheetViews>
  <sheetFormatPr defaultColWidth="9.140625" defaultRowHeight="12.75" zeroHeight="1"/>
  <cols>
    <col min="1" max="1" width="13.00390625" style="206" customWidth="1"/>
    <col min="2" max="2" width="79.421875" style="0" customWidth="1"/>
    <col min="3" max="3" width="13.00390625" style="206" hidden="1" customWidth="1"/>
    <col min="4" max="5" width="5.7109375" style="207" hidden="1" customWidth="1"/>
    <col min="6" max="21" width="5.7109375" style="208" hidden="1" customWidth="1"/>
    <col min="22" max="28" width="5.7109375" style="0" hidden="1" customWidth="1"/>
    <col min="29" max="16384" width="9.140625" style="0" hidden="1" customWidth="1"/>
  </cols>
  <sheetData>
    <row r="1" spans="1:21" ht="30.75" customHeight="1">
      <c r="A1" s="203" t="s">
        <v>5</v>
      </c>
      <c r="B1" s="203" t="s">
        <v>6</v>
      </c>
      <c r="C1" s="203" t="s">
        <v>5</v>
      </c>
      <c r="D1" s="207">
        <v>1</v>
      </c>
      <c r="E1" s="207">
        <v>2</v>
      </c>
      <c r="F1" s="207">
        <v>3</v>
      </c>
      <c r="G1" s="207">
        <v>4</v>
      </c>
      <c r="H1" s="207">
        <v>5</v>
      </c>
      <c r="I1" s="207">
        <v>6</v>
      </c>
      <c r="J1" s="207">
        <v>7</v>
      </c>
      <c r="K1" s="207">
        <v>8</v>
      </c>
      <c r="L1" s="207">
        <v>9</v>
      </c>
      <c r="M1" s="207">
        <v>10</v>
      </c>
      <c r="N1" s="207">
        <v>11</v>
      </c>
      <c r="O1" s="207">
        <v>12</v>
      </c>
      <c r="P1" s="207">
        <v>13</v>
      </c>
      <c r="Q1" s="207">
        <v>14</v>
      </c>
      <c r="R1" s="207">
        <v>15</v>
      </c>
      <c r="S1" s="207">
        <v>16</v>
      </c>
      <c r="T1" s="207">
        <v>17</v>
      </c>
      <c r="U1" s="207">
        <v>18</v>
      </c>
    </row>
    <row r="2" spans="1:3" ht="45" customHeight="1">
      <c r="A2" s="204" t="str">
        <f>C2</f>
        <v>Zadovoljena</v>
      </c>
      <c r="B2" s="205" t="s">
        <v>860</v>
      </c>
      <c r="C2" s="204" t="str">
        <f>IF(OR(Tablica_A!G5="",Tablica_A!G7="",Tablica_A!G7="",Tablica_A!S5="",Tablica_A!S7="",Tablica_A!E9="",Tablica_A!G11="",Tablica_A!I11="",Tablica_A!O11="",Tablica_A!G13="",Tablica_A!Q13=""),"NIJE zadovoljena","Zadovoljena")</f>
        <v>Zadovoljena</v>
      </c>
    </row>
    <row r="3" spans="1:6" ht="30" customHeight="1">
      <c r="A3" s="204" t="str">
        <f aca="true" t="shared" si="0" ref="A3:A28">C3</f>
        <v>Zadovoljena</v>
      </c>
      <c r="B3" s="205" t="s">
        <v>861</v>
      </c>
      <c r="C3" s="204" t="str">
        <f>IF(OR(F3=0,MID(Tablica_A!G13,1,1)&lt;&gt;"0",MID(Tablica_A!Q13,1,1)&lt;&gt;"0"),"NIJE zadovoljena","Zadovoljena")</f>
        <v>Zadovoljena</v>
      </c>
      <c r="D3" s="209">
        <f>INT(Tablica_A!G13)</f>
        <v>48655115</v>
      </c>
      <c r="E3" s="207">
        <f>INT(Tablica_A!G13)</f>
        <v>48655115</v>
      </c>
      <c r="F3" s="208">
        <f>IF(OR(ISERROR(D3),ISERROR(E3)),0,D3*E3)</f>
        <v>2367320215663225</v>
      </c>
    </row>
    <row r="4" spans="1:3" ht="30" customHeight="1">
      <c r="A4" s="204" t="str">
        <f t="shared" si="0"/>
        <v>Zadovoljena</v>
      </c>
      <c r="B4" s="205" t="s">
        <v>843</v>
      </c>
      <c r="C4" s="204" t="str">
        <f>IF(OR(Tablica_A!U15="",Tablica_A!U17="",Tablica_A!U19="",Tablica_A!G17=""),"NIJE zadovoljena","Zadovoljena")</f>
        <v>Zadovoljena</v>
      </c>
    </row>
    <row r="5" spans="1:3" ht="30" customHeight="1">
      <c r="A5" s="204" t="str">
        <f t="shared" si="0"/>
        <v>Zadovoljena</v>
      </c>
      <c r="B5" s="205" t="s">
        <v>844</v>
      </c>
      <c r="C5" s="204" t="str">
        <f>IF(OR(Tablica_A!E21="",Tablica_A!C23="",Tablica_A!M21="",Tablica_A!G19="",Tablica_A!M23="",Tablica_A!S7=""),"NIJE zadovoljena","Zadovoljena")</f>
        <v>Zadovoljena</v>
      </c>
    </row>
    <row r="6" spans="1:3" ht="30" customHeight="1">
      <c r="A6" s="204" t="str">
        <f t="shared" si="0"/>
        <v>Zadovoljena</v>
      </c>
      <c r="B6" s="205" t="s">
        <v>525</v>
      </c>
      <c r="C6" s="204" t="str">
        <f>IF(OR(Tablica_A!C29="",Tablica_A!I29="",Tablica_A!K29="",Tablica_A!O29=""),"NIJE zadovoljena","Zadovoljena")</f>
        <v>Zadovoljena</v>
      </c>
    </row>
    <row r="7" spans="1:14" ht="30" customHeight="1">
      <c r="A7" s="204" t="str">
        <f t="shared" si="0"/>
        <v>Zadovoljena</v>
      </c>
      <c r="B7" s="205" t="s">
        <v>526</v>
      </c>
      <c r="C7" s="204" t="str">
        <f>IF(SUM(D7:N7)&gt;0,"NIJE zadovoljena","Zadovoljena")</f>
        <v>Zadovoljena</v>
      </c>
      <c r="D7" s="207">
        <f>IF(AND(OR(Tablica_A!C29="",Tablica_A!I29="",Tablica_A!K29="",Tablica_A!O29=""),OR(Tablica_A!C29&lt;&gt;"",Tablica_A!I29&lt;&gt;"",Tablica_A!K29&lt;&gt;"",Tablica_A!O29&lt;&gt;"")),1,0)</f>
        <v>0</v>
      </c>
      <c r="E7" s="207">
        <f>IF(AND(OR(Tablica_A!C31="",Tablica_A!I31="",Tablica_A!K31="",Tablica_A!O31=""),OR(Tablica_A!C31&lt;&gt;"",Tablica_A!I31&lt;&gt;"",Tablica_A!K31&lt;&gt;"",Tablica_A!O31&lt;&gt;"")),1,0)</f>
        <v>0</v>
      </c>
      <c r="F7" s="208">
        <f>IF(AND(OR(Tablica_A!C33="",Tablica_A!I33="",Tablica_A!K33="",Tablica_A!O33=""),OR(Tablica_A!C33&lt;&gt;"",Tablica_A!I33&lt;&gt;"",Tablica_A!K33&lt;&gt;"",Tablica_A!O33&lt;&gt;"")),1,0)</f>
        <v>0</v>
      </c>
      <c r="G7" s="208">
        <f>IF(AND(OR(Tablica_A!C35="",Tablica_A!I35="",Tablica_A!K35="",Tablica_A!O35=""),OR(Tablica_A!C35&lt;&gt;"",Tablica_A!I35&lt;&gt;"",Tablica_A!K35&lt;&gt;"",Tablica_A!O35&lt;&gt;"")),1,0)</f>
        <v>0</v>
      </c>
      <c r="H7" s="208">
        <f>IF(AND(OR(Tablica_A!C37="",Tablica_A!I37="",Tablica_A!K37="",Tablica_A!O37=""),OR(Tablica_A!C37&lt;&gt;"",Tablica_A!I37&lt;&gt;"",Tablica_A!K37&lt;&gt;"",Tablica_A!O37&lt;&gt;"")),1,0)</f>
        <v>0</v>
      </c>
      <c r="I7" s="208">
        <f>IF(AND(OR(Tablica_A!C39="",Tablica_A!I39="",Tablica_A!K39="",Tablica_A!O39=""),OR(Tablica_A!C39&lt;&gt;"",Tablica_A!I39&lt;&gt;"",Tablica_A!K39&lt;&gt;"",Tablica_A!O39&lt;&gt;"")),1,0)</f>
        <v>0</v>
      </c>
      <c r="J7" s="208">
        <f>IF(AND(OR(Tablica_A!C41="",Tablica_A!I41="",Tablica_A!K41="",Tablica_A!O41=""),OR(Tablica_A!C41&lt;&gt;"",Tablica_A!I41&lt;&gt;"",Tablica_A!K41&lt;&gt;"",Tablica_A!O41&lt;&gt;"")),1,0)</f>
        <v>0</v>
      </c>
      <c r="K7" s="208">
        <f>IF(AND(OR(Tablica_A!C43="",Tablica_A!I43="",Tablica_A!K43="",Tablica_A!O43=""),OR(Tablica_A!C43&lt;&gt;"",Tablica_A!I43&lt;&gt;"",Tablica_A!K43&lt;&gt;"",Tablica_A!O43&lt;&gt;"")),1,0)</f>
        <v>0</v>
      </c>
      <c r="L7" s="208">
        <f>IF(AND(OR(Tablica_A!C45="",Tablica_A!I45="",Tablica_A!K45="",Tablica_A!O45=""),OR(Tablica_A!C45&lt;&gt;"",Tablica_A!I45&lt;&gt;"",Tablica_A!K45&lt;&gt;"",Tablica_A!O45&lt;&gt;"")),1,0)</f>
        <v>0</v>
      </c>
      <c r="M7" s="208">
        <f>IF(AND(OR(Tablica_A!C49="",Tablica_A!I49="",Tablica_A!K49="",Tablica_A!O49=""),OR(Tablica_A!C49&lt;&gt;"",Tablica_A!I49&lt;&gt;"",Tablica_A!K49&lt;&gt;"",Tablica_A!O49&lt;&gt;"")),1,0)</f>
        <v>0</v>
      </c>
      <c r="N7" s="208">
        <f>IF(AND(OR(Tablica_A!C51="",Tablica_A!I51="",Tablica_A!K51="",Tablica_A!O51=""),OR(Tablica_A!C51&lt;&gt;"",Tablica_A!I51&lt;&gt;"",Tablica_A!K51&lt;&gt;"",Tablica_A!O51&lt;&gt;"")),1,0)</f>
        <v>0</v>
      </c>
    </row>
    <row r="8" spans="1:28" ht="30" customHeight="1">
      <c r="A8" s="204" t="str">
        <f t="shared" si="0"/>
        <v>Zadovoljena</v>
      </c>
      <c r="B8" s="205" t="s">
        <v>872</v>
      </c>
      <c r="C8" s="204" t="str">
        <f>IF(SUM(D8:AB8)&gt;0,"NIJE zadovoljena","Zadovoljena")</f>
        <v>Zadovoljena</v>
      </c>
      <c r="D8" s="207">
        <f>IF(AND(Tablica_A!C31&lt;&gt;"",Tablica_A!C29=""),1,0)</f>
        <v>0</v>
      </c>
      <c r="E8" s="207">
        <f>IF(AND(Tablica_A!C33&lt;&gt;"",Tablica_A!C31=""),1,0)</f>
        <v>0</v>
      </c>
      <c r="F8" s="208">
        <f>IF(AND(Tablica_A!C35&lt;&gt;"",Tablica_A!C33=""),1,0)</f>
        <v>0</v>
      </c>
      <c r="G8" s="208">
        <f>IF(AND(Tablica_A!C37&lt;&gt;"",Tablica_A!C35=""),1,0)</f>
        <v>0</v>
      </c>
      <c r="H8" s="208">
        <f>IF(AND(Tablica_A!C39&lt;&gt;"",Tablica_A!C37=""),1,0)</f>
        <v>0</v>
      </c>
      <c r="I8" s="208">
        <f>IF(AND(Tablica_A!C41&lt;&gt;"",Tablica_A!C39=""),1,0)</f>
        <v>0</v>
      </c>
      <c r="J8" s="208">
        <f>IF(AND(Tablica_A!C43&lt;&gt;"",Tablica_A!C41=""),1,0)</f>
        <v>0</v>
      </c>
      <c r="K8" s="208">
        <f>IF(AND(Tablica_A!C45&lt;&gt;"",Tablica_A!C43=""),1,0)</f>
        <v>0</v>
      </c>
      <c r="L8" s="208">
        <f>IF(AND(Tablica_A!C47&lt;&gt;"",Tablica_A!C45=""),1,0)</f>
        <v>0</v>
      </c>
      <c r="M8" s="208">
        <f>IF(AND(Tablica_A!C49&lt;&gt;"",Tablica_A!C47=""),1,0)</f>
        <v>0</v>
      </c>
      <c r="N8" s="208">
        <f>IF(AND(Tablica_A!C56&lt;&gt;"",Tablica_A!C54=""),1,0)</f>
        <v>0</v>
      </c>
      <c r="O8" s="208">
        <f>IF(AND(Tablica_A!C58&lt;&gt;"",Tablica_A!C56=""),1,0)</f>
        <v>0</v>
      </c>
      <c r="P8" s="208">
        <f>IF(AND(Tablica_A!C60&lt;&gt;"",Tablica_A!C58=""),1,0)</f>
        <v>0</v>
      </c>
      <c r="Q8" s="208">
        <f>IF(AND(Tablica_A!C62&lt;&gt;"",Tablica_A!C60=""),1,0)</f>
        <v>0</v>
      </c>
      <c r="R8" s="208">
        <f>IF(AND(Tablica_A!C64&lt;&gt;"",Tablica_A!C62=""),1,0)</f>
        <v>0</v>
      </c>
      <c r="S8" s="208">
        <f>IF(AND(Tablica_A!C66&lt;&gt;"",Tablica_A!C64=""),1,0)</f>
        <v>0</v>
      </c>
      <c r="T8" s="208">
        <f>IF(AND(Tablica_A!C68&lt;&gt;"",Tablica_A!C66=""),1,0)</f>
        <v>0</v>
      </c>
      <c r="U8" s="208">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4" t="str">
        <f t="shared" si="0"/>
        <v>Zadovoljena</v>
      </c>
      <c r="B9" s="205" t="s">
        <v>528</v>
      </c>
      <c r="C9" s="204" t="str">
        <f>IF(SUM(D9:R9)&gt;0,"NIJE zadovoljena","Zadovoljena")</f>
        <v>Zadovoljena</v>
      </c>
      <c r="D9" s="207">
        <f>IF(AND(OR(Tablica_A!C54="",Tablica_A!I54="",Tablica_A!K54="",Tablica_A!O54=""),OR(Tablica_A!C54&lt;&gt;"",Tablica_A!I54&lt;&gt;"",Tablica_A!K54&lt;&gt;"",Tablica_A!O54&lt;&gt;"")),1,0)</f>
        <v>0</v>
      </c>
      <c r="E9" s="207">
        <f>IF(AND(OR(Tablica_A!C56="",Tablica_A!I56="",Tablica_A!K56="",Tablica_A!O56=""),OR(Tablica_A!C56&lt;&gt;"",Tablica_A!I56&lt;&gt;"",Tablica_A!K56&lt;&gt;"",Tablica_A!O56&lt;&gt;"")),1,0)</f>
        <v>0</v>
      </c>
      <c r="F9" s="208">
        <f>IF(AND(OR(Tablica_A!C58="",Tablica_A!I58="",Tablica_A!K58="",Tablica_A!O58=""),OR(Tablica_A!C58&lt;&gt;"",Tablica_A!I58&lt;&gt;"",Tablica_A!K58&lt;&gt;"",Tablica_A!O58&lt;&gt;"")),1,0)</f>
        <v>0</v>
      </c>
      <c r="G9" s="208">
        <f>IF(AND(OR(Tablica_A!C60="",Tablica_A!I60="",Tablica_A!K60="",Tablica_A!O60=""),OR(Tablica_A!C60&lt;&gt;"",Tablica_A!I60&lt;&gt;"",Tablica_A!K60&lt;&gt;"",Tablica_A!O60&lt;&gt;"")),1,0)</f>
        <v>0</v>
      </c>
      <c r="H9" s="208">
        <f>IF(AND(OR(Tablica_A!C62="",Tablica_A!I62="",Tablica_A!K62="",Tablica_A!O62=""),OR(Tablica_A!C62&lt;&gt;"",Tablica_A!I62&lt;&gt;"",Tablica_A!K62&lt;&gt;"",Tablica_A!O62&lt;&gt;"")),1,0)</f>
        <v>0</v>
      </c>
      <c r="I9" s="208">
        <f>IF(AND(OR(Tablica_A!C64="",Tablica_A!I64="",Tablica_A!K64="",Tablica_A!O64=""),OR(Tablica_A!C64&lt;&gt;"",Tablica_A!I64&lt;&gt;"",Tablica_A!K64&lt;&gt;"",Tablica_A!O64&lt;&gt;"")),1,0)</f>
        <v>0</v>
      </c>
      <c r="J9" s="208">
        <f>IF(AND(OR(Tablica_A!C66="",Tablica_A!I66="",Tablica_A!K66="",Tablica_A!O66=""),OR(Tablica_A!C66&lt;&gt;"",Tablica_A!I66&lt;&gt;"",Tablica_A!K66&lt;&gt;"",Tablica_A!O66&lt;&gt;"")),1,0)</f>
        <v>0</v>
      </c>
      <c r="K9" s="208">
        <f>IF(AND(OR(Tablica_A!C68="",Tablica_A!I68="",Tablica_A!K68="",Tablica_A!O68=""),OR(Tablica_A!C68&lt;&gt;"",Tablica_A!I68&lt;&gt;"",Tablica_A!K68&lt;&gt;"",Tablica_A!O68&lt;&gt;"")),1,0)</f>
        <v>0</v>
      </c>
      <c r="L9" s="208">
        <f>IF(AND(OR(Tablica_A!C70="",Tablica_A!I70="",Tablica_A!K70="",Tablica_A!O70=""),OR(Tablica_A!C70&lt;&gt;"",Tablica_A!I70&lt;&gt;"",Tablica_A!K70&lt;&gt;"",Tablica_A!O70&lt;&gt;"")),1,0)</f>
        <v>0</v>
      </c>
      <c r="M9" s="208">
        <f>IF(AND(OR(Tablica_A!C74="",Tablica_A!I74="",Tablica_A!K74="",Tablica_A!O74=""),OR(Tablica_A!C74&lt;&gt;"",Tablica_A!I74&lt;&gt;"",Tablica_A!K74&lt;&gt;"",Tablica_A!O74&lt;&gt;"")),1,0)</f>
        <v>0</v>
      </c>
      <c r="N9" s="208">
        <f>IF(AND(OR(Tablica_A!C76="",Tablica_A!I76="",Tablica_A!K76="",Tablica_A!O76=""),OR(Tablica_A!C76&lt;&gt;"",Tablica_A!I76&lt;&gt;"",Tablica_A!K76&lt;&gt;"",Tablica_A!O76&lt;&gt;"")),1,0)</f>
        <v>0</v>
      </c>
      <c r="O9" s="208">
        <f>IF(AND(OR(Tablica_A!C78="",Tablica_A!I78="",Tablica_A!K78="",Tablica_A!O78=""),OR(Tablica_A!C78&lt;&gt;"",Tablica_A!I78&lt;&gt;"",Tablica_A!K78&lt;&gt;"",Tablica_A!O78&lt;&gt;"")),1,0)</f>
        <v>0</v>
      </c>
      <c r="P9" s="208">
        <f>IF(AND(OR(Tablica_A!C80="",Tablica_A!I80="",Tablica_A!K80="",Tablica_A!O80=""),OR(Tablica_A!C80&lt;&gt;"",Tablica_A!I80&lt;&gt;"",Tablica_A!K80&lt;&gt;"",Tablica_A!O80&lt;&gt;"")),1,0)</f>
        <v>0</v>
      </c>
      <c r="Q9" s="208">
        <f>IF(AND(OR(Tablica_A!C82="",Tablica_A!I82="",Tablica_A!K82="",Tablica_A!O82=""),OR(Tablica_A!C82&lt;&gt;"",Tablica_A!I82&lt;&gt;"",Tablica_A!K82&lt;&gt;"",Tablica_A!O82&lt;&gt;"")),1,0)</f>
        <v>0</v>
      </c>
      <c r="R9" s="208">
        <f>IF(AND(OR(Tablica_A!C84="",Tablica_A!I84="",Tablica_A!K84="",Tablica_A!O84=""),OR(Tablica_A!C84&lt;&gt;"",Tablica_A!I84&lt;&gt;"",Tablica_A!K84&lt;&gt;"",Tablica_A!O84&lt;&gt;"")),1,0)</f>
        <v>0</v>
      </c>
    </row>
    <row r="10" spans="1:3" ht="30" customHeight="1">
      <c r="A10" s="204" t="str">
        <f t="shared" si="0"/>
        <v>Zadovoljena</v>
      </c>
      <c r="B10" s="205" t="s">
        <v>527</v>
      </c>
      <c r="C10" s="204" t="str">
        <f>IF(OR(Tablica_A!U90="",Tablica_A!G115=""),"NIJE zadovoljena","Zadovoljena")</f>
        <v>Zadovoljena</v>
      </c>
    </row>
    <row r="11" spans="1:13" ht="30" customHeight="1">
      <c r="A11" s="204" t="str">
        <f t="shared" si="0"/>
        <v>Zadovoljena</v>
      </c>
      <c r="B11" s="211" t="s">
        <v>863</v>
      </c>
      <c r="C11" s="204" t="str">
        <f>IF(SUM(D11:N11)&gt;0,"NIJE zadovoljena","Zadovoljena")</f>
        <v>Zadovoljena</v>
      </c>
      <c r="D11" s="207">
        <f>IF(AND(OR(Tablica_A!C95="",Tablica_A!K95="",Tablica_A!S95="",Tablica_A!U95=""),OR(Tablica_A!C95&lt;&gt;"",Tablica_A!K95&lt;&gt;"",Tablica_A!S95&lt;&gt;"",Tablica_A!U95&lt;&gt;"")),1,0)</f>
        <v>0</v>
      </c>
      <c r="E11" s="207">
        <f>IF(AND(OR(Tablica_A!C97="",Tablica_A!K97="",Tablica_A!S97="",Tablica_A!U97=""),OR(Tablica_A!C97&lt;&gt;"",Tablica_A!K97&lt;&gt;"",Tablica_A!S97&lt;&gt;"",Tablica_A!U97&lt;&gt;"")),1,0)</f>
        <v>0</v>
      </c>
      <c r="F11" s="207">
        <f>IF(AND(OR(Tablica_A!C99="",Tablica_A!K99="",Tablica_A!S99="",Tablica_A!U99=""),OR(Tablica_A!C99&lt;&gt;"",Tablica_A!K99&lt;&gt;"",Tablica_A!S99&lt;&gt;"",Tablica_A!U99&lt;&gt;"")),1,0)</f>
        <v>0</v>
      </c>
      <c r="G11" s="207">
        <f>IF(AND(OR(Tablica_A!C101="",Tablica_A!K101="",Tablica_A!S101="",Tablica_A!U101=""),OR(Tablica_A!C101&lt;&gt;"",Tablica_A!K101&lt;&gt;"",Tablica_A!S101&lt;&gt;"",Tablica_A!U101&lt;&gt;"")),1,0)</f>
        <v>0</v>
      </c>
      <c r="H11" s="207">
        <f>IF(AND(OR(Tablica_A!C103="",Tablica_A!K103="",Tablica_A!S103="",Tablica_A!U103=""),OR(Tablica_A!C103&lt;&gt;"",Tablica_A!K103&lt;&gt;"",Tablica_A!S103&lt;&gt;"",Tablica_A!U103&lt;&gt;"")),1,0)</f>
        <v>0</v>
      </c>
      <c r="I11" s="207">
        <f>IF(AND(OR(Tablica_A!C105="",Tablica_A!K105="",Tablica_A!S105="",Tablica_A!U105=""),OR(Tablica_A!C105&lt;&gt;"",Tablica_A!K105&lt;&gt;"",Tablica_A!S105&lt;&gt;"",Tablica_A!U105&lt;&gt;"")),1,0)</f>
        <v>0</v>
      </c>
      <c r="J11" s="207">
        <f>IF(AND(OR(Tablica_A!C107="",Tablica_A!K107="",Tablica_A!S107="",Tablica_A!U107=""),OR(Tablica_A!C107&lt;&gt;"",Tablica_A!K107&lt;&gt;"",Tablica_A!S107&lt;&gt;"",Tablica_A!U107&lt;&gt;"")),1,0)</f>
        <v>0</v>
      </c>
      <c r="K11" s="207">
        <f>IF(AND(OR(Tablica_A!C109="",Tablica_A!K109="",Tablica_A!S109="",Tablica_A!U109=""),OR(Tablica_A!C109&lt;&gt;"",Tablica_A!K109&lt;&gt;"",Tablica_A!S109&lt;&gt;"",Tablica_A!U109&lt;&gt;"")),1,0)</f>
        <v>0</v>
      </c>
      <c r="L11" s="207">
        <f>IF(AND(OR(Tablica_A!C111="",Tablica_A!K111="",Tablica_A!S111="",Tablica_A!U111=""),OR(Tablica_A!C111&lt;&gt;"",Tablica_A!K111&lt;&gt;"",Tablica_A!S111&lt;&gt;"",Tablica_A!U111&lt;&gt;"")),1,0)</f>
        <v>0</v>
      </c>
      <c r="M11" s="207">
        <f>IF(AND(OR(Tablica_A!C113="",Tablica_A!K113="",Tablica_A!S113="",Tablica_A!U113=""),OR(Tablica_A!C113&lt;&gt;"",Tablica_A!K113&lt;&gt;"",Tablica_A!S113&lt;&gt;"",Tablica_A!U113&lt;&gt;"")),1,0)</f>
        <v>0</v>
      </c>
    </row>
    <row r="12" spans="1:3" ht="45" customHeight="1">
      <c r="A12" s="204" t="str">
        <f t="shared" si="0"/>
        <v>Zadovoljena</v>
      </c>
      <c r="B12" s="211" t="s">
        <v>862</v>
      </c>
      <c r="C12" s="210" t="str">
        <f>IF(OR(SUM(Tablica_A!U95:U115)&gt;100,SUM(Tablica_A!S95:S115)&gt;(SUM(Tablica_A!K121:K137)+SUM(Tablica_A!U121:U137))),"NIJE Zadovoljena","Zadovoljena")</f>
        <v>Zadovoljena</v>
      </c>
    </row>
    <row r="13" spans="1:14" ht="60" customHeight="1">
      <c r="A13" s="204" t="str">
        <f t="shared" si="0"/>
        <v>Zadovoljena</v>
      </c>
      <c r="B13" s="211" t="s">
        <v>529</v>
      </c>
      <c r="C13" s="204" t="str">
        <f>IF(SUM(D13:P13)&gt;0,"NIJE zadovoljena","Zadovoljena")</f>
        <v>Zadovoljena</v>
      </c>
      <c r="D13" s="207">
        <f>IF(OR(AND(Tablica_A!$U$90&gt;0,Tablica_A!C95=""),AND(Tablica_A!C97&lt;&gt;"",Tablica_A!C95="")),1,0)</f>
        <v>0</v>
      </c>
      <c r="E13" s="207">
        <f>IF(OR(AND(Tablica_A!$U$90&gt;1,Tablica_A!C97=""),AND(Tablica_A!C99&lt;&gt;"",Tablica_A!C97="")),1,0)</f>
        <v>0</v>
      </c>
      <c r="F13" s="208">
        <f>IF(OR(AND(Tablica_A!$U$90&gt;2,Tablica_A!C99=""),AND(Tablica_A!C101&lt;&gt;"",Tablica_A!C99="")),1,0)</f>
        <v>0</v>
      </c>
      <c r="G13" s="208">
        <f>IF(OR(AND(Tablica_A!$U$90&gt;3,Tablica_A!C101=""),AND(Tablica_A!C103&lt;&gt;"",Tablica_A!C101="")),1,0)</f>
        <v>0</v>
      </c>
      <c r="H13" s="208">
        <f>IF(OR(AND(Tablica_A!$U$90&gt;4,Tablica_A!C103=""),AND(Tablica_A!C105&lt;&gt;"",Tablica_A!C103="")),1,0)</f>
        <v>0</v>
      </c>
      <c r="I13" s="208">
        <f>IF(OR(AND(Tablica_A!$U$90&gt;5,Tablica_A!C105=""),AND(Tablica_A!C107&lt;&gt;"",Tablica_A!C105="")),1,0)</f>
        <v>0</v>
      </c>
      <c r="J13" s="208">
        <f>IF(OR(AND(Tablica_A!$U$90&gt;6,Tablica_A!C107=""),AND(Tablica_A!C109&lt;&gt;"",Tablica_A!C107="")),1,0)</f>
        <v>0</v>
      </c>
      <c r="K13" s="208">
        <f>IF(OR(AND(Tablica_A!$U$90&gt;7,Tablica_A!C109=""),AND(Tablica_A!C111&lt;&gt;"",Tablica_A!C109="")),1,0)</f>
        <v>0</v>
      </c>
      <c r="L13" s="208">
        <f>IF(OR(AND(Tablica_A!$U$90&gt;8,Tablica_A!C111=""),AND(Tablica_A!C113&lt;&gt;"",Tablica_A!C111="")),1,0)</f>
        <v>0</v>
      </c>
      <c r="M13" s="208">
        <f>IF(OR(AND(Tablica_A!$U$90&gt;9,Tablica_A!C113=""),AND(Tablica_A!C115&lt;&gt;"",Tablica_A!C113="")),1,0)</f>
        <v>0</v>
      </c>
      <c r="N13" s="208">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4" t="str">
        <f t="shared" si="0"/>
        <v>Zadovoljena</v>
      </c>
      <c r="B14" s="211" t="s">
        <v>864</v>
      </c>
      <c r="C14" s="204" t="str">
        <f>IF(AND(Tablica_A!K121="",Tablica_A!U121=""),"NIJE zadovoljena","Zadovoljena")</f>
        <v>Zadovoljena</v>
      </c>
    </row>
    <row r="15" spans="1:21" ht="30" customHeight="1">
      <c r="A15" s="204" t="str">
        <f t="shared" si="0"/>
        <v>Zadovoljena</v>
      </c>
      <c r="B15" s="211" t="s">
        <v>865</v>
      </c>
      <c r="C15" s="204" t="str">
        <f>IF(SUM(D15:U15)&gt;0,"NIJE zadovoljena","Zadovoljena")</f>
        <v>Zadovoljena</v>
      </c>
      <c r="D15" s="207">
        <f>IF(AND(OR(Tablica_A!C121="",Tablica_A!G121="",Tablica_A!K121=""),OR(Tablica_A!C121&lt;&gt;"",Tablica_A!G121&lt;&gt;"",Tablica_A!K121&lt;&gt;"")),1,0)</f>
        <v>0</v>
      </c>
      <c r="E15" s="207">
        <f>IF(AND(OR(Tablica_A!C123="",Tablica_A!G123="",Tablica_A!K123=""),OR(Tablica_A!C123&lt;&gt;"",Tablica_A!G123&lt;&gt;"",Tablica_A!K123&lt;&gt;"")),1,0)</f>
        <v>0</v>
      </c>
      <c r="F15" s="208">
        <f>IF(AND(OR(Tablica_A!C125="",Tablica_A!G125="",Tablica_A!K125=""),OR(Tablica_A!C125&lt;&gt;"",Tablica_A!G125&lt;&gt;"",Tablica_A!K125&lt;&gt;"")),1,0)</f>
        <v>0</v>
      </c>
      <c r="G15" s="208">
        <f>IF(AND(OR(Tablica_A!C127="",Tablica_A!G127="",Tablica_A!K127=""),OR(Tablica_A!C127&lt;&gt;"",Tablica_A!G127&lt;&gt;"",Tablica_A!K127&lt;&gt;"")),1,0)</f>
        <v>0</v>
      </c>
      <c r="H15" s="208">
        <f>IF(AND(OR(Tablica_A!C129="",Tablica_A!G129="",Tablica_A!K129=""),OR(Tablica_A!C129&lt;&gt;"",Tablica_A!G129&lt;&gt;"",Tablica_A!K129&lt;&gt;"")),1,0)</f>
        <v>0</v>
      </c>
      <c r="I15" s="208">
        <f>IF(AND(OR(Tablica_A!C131="",Tablica_A!G131="",Tablica_A!K131=""),OR(Tablica_A!C131&lt;&gt;"",Tablica_A!G131&lt;&gt;"",Tablica_A!K131&lt;&gt;"")),1,0)</f>
        <v>0</v>
      </c>
      <c r="J15" s="208">
        <f>IF(AND(OR(Tablica_A!C133="",Tablica_A!G133="",Tablica_A!K133=""),OR(Tablica_A!C133&lt;&gt;"",Tablica_A!G133&lt;&gt;"",Tablica_A!K133&lt;&gt;"")),1,0)</f>
        <v>0</v>
      </c>
      <c r="K15" s="208">
        <f>IF(AND(OR(Tablica_A!C135="",Tablica_A!G135="",Tablica_A!K135=""),OR(Tablica_A!C135&lt;&gt;"",Tablica_A!G135&lt;&gt;"",Tablica_A!K135&lt;&gt;"")),1,0)</f>
        <v>0</v>
      </c>
      <c r="L15" s="208">
        <f>IF(AND(OR(Tablica_A!C137="",Tablica_A!G137="",Tablica_A!K137=""),OR(Tablica_A!C137&lt;&gt;"",Tablica_A!G137&lt;&gt;"",Tablica_A!K137&lt;&gt;"")),1,0)</f>
        <v>0</v>
      </c>
      <c r="M15" s="207">
        <f>IF(AND(OR(Tablica_A!M121="",Tablica_A!Q121="",Tablica_A!U121=""),OR(Tablica_A!M121&lt;&gt;"",Tablica_A!Q121&lt;&gt;"",Tablica_A!U121&lt;&gt;"")),1,0)</f>
        <v>0</v>
      </c>
      <c r="N15" s="207">
        <f>IF(AND(OR(Tablica_A!M123="",Tablica_A!Q123="",Tablica_A!U123=""),OR(Tablica_A!M123&lt;&gt;"",Tablica_A!Q123&lt;&gt;"",Tablica_A!U123&lt;&gt;"")),1,0)</f>
        <v>0</v>
      </c>
      <c r="O15" s="207">
        <f>IF(AND(OR(Tablica_A!M125="",Tablica_A!Q125="",Tablica_A!U125=""),OR(Tablica_A!M125&lt;&gt;"",Tablica_A!Q125&lt;&gt;"",Tablica_A!U125&lt;&gt;"")),1,0)</f>
        <v>0</v>
      </c>
      <c r="P15" s="207">
        <f>IF(AND(OR(Tablica_A!M127="",Tablica_A!Q127="",Tablica_A!U127=""),OR(Tablica_A!M127&lt;&gt;"",Tablica_A!Q127&lt;&gt;"",Tablica_A!U127&lt;&gt;"")),1,0)</f>
        <v>0</v>
      </c>
      <c r="Q15" s="207">
        <f>IF(AND(OR(Tablica_A!M129="",Tablica_A!Q129="",Tablica_A!U129=""),OR(Tablica_A!M129&lt;&gt;"",Tablica_A!Q129&lt;&gt;"",Tablica_A!U129&lt;&gt;"")),1,0)</f>
        <v>0</v>
      </c>
      <c r="R15" s="207">
        <f>IF(AND(OR(Tablica_A!M131="",Tablica_A!Q131="",Tablica_A!U131=""),OR(Tablica_A!M131&lt;&gt;"",Tablica_A!Q131&lt;&gt;"",Tablica_A!U131&lt;&gt;"")),1,0)</f>
        <v>0</v>
      </c>
      <c r="S15" s="207">
        <f>IF(AND(OR(Tablica_A!M133="",Tablica_A!Q133="",Tablica_A!U133=""),OR(Tablica_A!M133&lt;&gt;"",Tablica_A!Q133&lt;&gt;"",Tablica_A!U133&lt;&gt;"")),1,0)</f>
        <v>0</v>
      </c>
      <c r="T15" s="207">
        <f>IF(AND(OR(Tablica_A!M135="",Tablica_A!Q135="",Tablica_A!U135=""),OR(Tablica_A!M135&lt;&gt;"",Tablica_A!Q135&lt;&gt;"",Tablica_A!U135&lt;&gt;"")),1,0)</f>
        <v>0</v>
      </c>
      <c r="U15" s="207">
        <f>IF(AND(OR(Tablica_A!M137="",Tablica_A!Q137="",Tablica_A!U137=""),OR(Tablica_A!M137&lt;&gt;"",Tablica_A!Q137&lt;&gt;"",Tablica_A!U137&lt;&gt;"")),1,0)</f>
        <v>0</v>
      </c>
    </row>
    <row r="16" spans="1:19" ht="54.75" customHeight="1">
      <c r="A16" s="204" t="str">
        <f t="shared" si="0"/>
        <v>Zadovoljena</v>
      </c>
      <c r="B16" s="211" t="s">
        <v>175</v>
      </c>
      <c r="C16" s="204" t="str">
        <f>IF(SUM(D16:U16)&gt;0,"NIJE zadovoljena","Zadovoljena")</f>
        <v>Zadovoljena</v>
      </c>
      <c r="D16" s="207">
        <f>IF(AND(Tablica_A!C123&lt;&gt;"",Tablica_A!C121=""),1,0)</f>
        <v>0</v>
      </c>
      <c r="E16" s="207">
        <f>IF(AND(Tablica_A!C125&lt;&gt;"",Tablica_A!C123=""),1,0)</f>
        <v>0</v>
      </c>
      <c r="F16" s="207">
        <f>IF(AND(Tablica_A!C127&lt;&gt;"",Tablica_A!C125=""),1,0)</f>
        <v>0</v>
      </c>
      <c r="G16" s="207">
        <f>IF(AND(Tablica_A!C129&lt;&gt;"",Tablica_A!C127=""),1,0)</f>
        <v>0</v>
      </c>
      <c r="H16" s="207">
        <f>IF(AND(Tablica_A!C131&lt;&gt;"",Tablica_A!C129=""),1,0)</f>
        <v>0</v>
      </c>
      <c r="I16" s="207">
        <f>IF(AND(Tablica_A!C133&lt;&gt;"",Tablica_A!C131=""),1,0)</f>
        <v>0</v>
      </c>
      <c r="J16" s="207">
        <f>IF(AND(Tablica_A!C135&lt;&gt;"",Tablica_A!C133=""),1,0)</f>
        <v>0</v>
      </c>
      <c r="K16" s="207">
        <f>IF(AND(Tablica_A!C137&lt;&gt;"",Tablica_A!C135=""),1,0)</f>
        <v>0</v>
      </c>
      <c r="L16" s="207">
        <f>IF(AND(Tablica_A!M123&lt;&gt;"",Tablica_A!M121=""),1,0)</f>
        <v>0</v>
      </c>
      <c r="M16" s="207">
        <f>IF(AND(Tablica_A!M125&lt;&gt;"",Tablica_A!M123=""),1,0)</f>
        <v>0</v>
      </c>
      <c r="N16" s="207">
        <f>IF(AND(Tablica_A!M127&lt;&gt;"",Tablica_A!M125=""),1,0)</f>
        <v>0</v>
      </c>
      <c r="O16" s="207">
        <f>IF(AND(Tablica_A!M129&lt;&gt;"",Tablica_A!M127=""),1,0)</f>
        <v>0</v>
      </c>
      <c r="P16" s="207">
        <f>IF(AND(Tablica_A!M131&lt;&gt;"",Tablica_A!M129=""),1,0)</f>
        <v>0</v>
      </c>
      <c r="Q16" s="207">
        <f>IF(AND(Tablica_A!M133&lt;&gt;"",Tablica_A!M131=""),1,0)</f>
        <v>0</v>
      </c>
      <c r="R16" s="207">
        <f>IF(AND(Tablica_A!M135&lt;&gt;"",Tablica_A!M133=""),1,0)</f>
        <v>0</v>
      </c>
      <c r="S16" s="207">
        <f>IF(AND(Tablica_A!M137&lt;&gt;"",Tablica_A!M135=""),1,0)</f>
        <v>0</v>
      </c>
    </row>
    <row r="17" spans="1:19" ht="54.75" customHeight="1">
      <c r="A17" s="204" t="str">
        <f t="shared" si="0"/>
        <v>Zadovoljena</v>
      </c>
      <c r="B17" s="211" t="s">
        <v>866</v>
      </c>
      <c r="C17" s="204" t="str">
        <f>IF(SUM(D17:U17)&gt;0,"NIJE zadovoljena","Zadovoljena")</f>
        <v>Zadovoljena</v>
      </c>
      <c r="D17" s="207">
        <f>IF(OR(AND(Tablica_A!C121="",Tablica_A!O139&lt;&gt;""),AND(Tablica_A!C121&lt;&gt;"",Tablica_A!O139="")),1,0)</f>
        <v>0</v>
      </c>
      <c r="E17" s="207">
        <f>IF(OR(AND(Tablica_A!M121="",Tablica_A!O141&lt;&gt;""),AND(Tablica_A!M121&lt;&gt;"",Tablica_A!O141="")),1,0)</f>
        <v>0</v>
      </c>
      <c r="F17" s="207">
        <f>IF(AND(Tablica_A!O139=Tablica_A!O141,Tablica_A!O141&lt;&gt;""),1,0)</f>
        <v>0</v>
      </c>
      <c r="G17" s="207"/>
      <c r="H17" s="207"/>
      <c r="I17" s="207"/>
      <c r="J17" s="207"/>
      <c r="K17" s="207"/>
      <c r="L17" s="207"/>
      <c r="M17" s="207"/>
      <c r="N17" s="207"/>
      <c r="O17" s="207"/>
      <c r="P17" s="207"/>
      <c r="Q17" s="207"/>
      <c r="R17" s="207"/>
      <c r="S17" s="207"/>
    </row>
    <row r="18" spans="1:19" ht="30" customHeight="1">
      <c r="A18" s="204" t="str">
        <f t="shared" si="0"/>
        <v>Zadovoljena</v>
      </c>
      <c r="B18" s="211" t="s">
        <v>867</v>
      </c>
      <c r="C18" s="204" t="str">
        <f>IF(OR(AND(Tablica_A!G5="DA",Tablica_A!E146&lt;&gt;""),AND(Tablica_A!G5="NE",Tablica_A!E146="")),"Zadovoljena","NIJE Zadovoljena")</f>
        <v>Zadovoljena</v>
      </c>
      <c r="F18" s="207"/>
      <c r="G18" s="207"/>
      <c r="H18" s="207"/>
      <c r="I18" s="207"/>
      <c r="J18" s="207"/>
      <c r="K18" s="207"/>
      <c r="L18" s="207"/>
      <c r="M18" s="207"/>
      <c r="N18" s="207"/>
      <c r="O18" s="207"/>
      <c r="P18" s="207"/>
      <c r="Q18" s="207"/>
      <c r="R18" s="207"/>
      <c r="S18" s="207"/>
    </row>
    <row r="19" spans="1:13" ht="30" customHeight="1">
      <c r="A19" s="204" t="str">
        <f t="shared" si="0"/>
        <v>Zadovoljena</v>
      </c>
      <c r="B19" s="211" t="s">
        <v>868</v>
      </c>
      <c r="C19" s="204" t="str">
        <f>IF(SUM(D19:N19)&gt;0,"NIJE zadovoljena","Zadovoljena")</f>
        <v>Zadovoljena</v>
      </c>
      <c r="D19" s="207">
        <f>IF(AND(OR(Tablica_A!C146="",Tablica_A!E146="",Tablica_A!M146="",Tablica_A!Q146=""),OR(Tablica_A!C146&lt;&gt;"",Tablica_A!E146&lt;&gt;"",Tablica_A!M146&lt;&gt;"",Tablica_A!Q146&lt;&gt;"")),1,0)</f>
        <v>0</v>
      </c>
      <c r="E19" s="207">
        <f>IF(AND(OR(Tablica_A!C148="",Tablica_A!E148="",Tablica_A!M148="",Tablica_A!Q148=""),OR(Tablica_A!C148&lt;&gt;"",Tablica_A!E148&lt;&gt;"",Tablica_A!M148&lt;&gt;"",Tablica_A!Q148&lt;&gt;"")),1,0)</f>
        <v>0</v>
      </c>
      <c r="F19" s="207">
        <f>IF(AND(OR(Tablica_A!C150="",Tablica_A!E150="",Tablica_A!M150="",Tablica_A!Q150=""),OR(Tablica_A!C150&lt;&gt;"",Tablica_A!E150&lt;&gt;"",Tablica_A!M150&lt;&gt;"",Tablica_A!Q150&lt;&gt;"")),1,0)</f>
        <v>0</v>
      </c>
      <c r="G19" s="207">
        <f>IF(AND(OR(Tablica_A!C152="",Tablica_A!E152="",Tablica_A!M152="",Tablica_A!Q152=""),OR(Tablica_A!C152&lt;&gt;"",Tablica_A!E152&lt;&gt;"",Tablica_A!M152&lt;&gt;"",Tablica_A!Q152&lt;&gt;"")),1,0)</f>
        <v>0</v>
      </c>
      <c r="H19" s="207">
        <f>IF(AND(OR(Tablica_A!C154="",Tablica_A!E154="",Tablica_A!M154="",Tablica_A!Q154=""),OR(Tablica_A!C154&lt;&gt;"",Tablica_A!E154&lt;&gt;"",Tablica_A!M154&lt;&gt;"",Tablica_A!Q154&lt;&gt;"")),1,0)</f>
        <v>0</v>
      </c>
      <c r="I19" s="207">
        <f>IF(AND(OR(Tablica_A!C156="",Tablica_A!E156="",Tablica_A!M156="",Tablica_A!Q156=""),OR(Tablica_A!C156&lt;&gt;"",Tablica_A!E156&lt;&gt;"",Tablica_A!M156&lt;&gt;"",Tablica_A!Q156&lt;&gt;"")),1,0)</f>
        <v>0</v>
      </c>
      <c r="J19" s="207"/>
      <c r="K19" s="207"/>
      <c r="L19" s="207"/>
      <c r="M19" s="207"/>
    </row>
    <row r="20" spans="1:19" ht="30" customHeight="1">
      <c r="A20" s="204" t="str">
        <f t="shared" si="0"/>
        <v>Zadovoljena</v>
      </c>
      <c r="B20" s="211" t="s">
        <v>531</v>
      </c>
      <c r="C20" s="204" t="str">
        <f>IF(SUM(D20:U20)&gt;0,"NIJE zadovoljena","Zadovoljena")</f>
        <v>Zadovoljena</v>
      </c>
      <c r="D20" s="207">
        <f>IF(AND(Tablica_A!E148&lt;&gt;"",Tablica_A!E146=""),1,0)</f>
        <v>0</v>
      </c>
      <c r="E20" s="207">
        <f>IF(AND(Tablica_A!E150&lt;&gt;"",Tablica_A!E148=""),1,0)</f>
        <v>0</v>
      </c>
      <c r="F20" s="207">
        <f>IF(AND(Tablica_A!E152&lt;&gt;"",Tablica_A!E150=""),1,0)</f>
        <v>0</v>
      </c>
      <c r="G20" s="207">
        <f>IF(AND(Tablica_A!E154&lt;&gt;"",Tablica_A!E152=""),1,0)</f>
        <v>0</v>
      </c>
      <c r="H20" s="207">
        <f>IF(AND(Tablica_A!E156&lt;&gt;"",Tablica_A!E154=""),1,0)</f>
        <v>0</v>
      </c>
      <c r="I20" s="207"/>
      <c r="J20" s="207"/>
      <c r="K20" s="207"/>
      <c r="L20" s="207"/>
      <c r="M20" s="207"/>
      <c r="N20" s="207"/>
      <c r="O20" s="207"/>
      <c r="P20" s="207"/>
      <c r="Q20" s="207"/>
      <c r="R20" s="207"/>
      <c r="S20" s="207"/>
    </row>
    <row r="21" spans="1:3" ht="30" customHeight="1">
      <c r="A21" s="204" t="str">
        <f t="shared" si="0"/>
        <v>Zadovoljena</v>
      </c>
      <c r="B21" s="205" t="s">
        <v>532</v>
      </c>
      <c r="C21" s="204" t="str">
        <f>IF(OR(Tablica_A!K158="",Tablica_A!K160="",Tablica_A!O160=""),"NIJE zadovoljena","Zadovoljena")</f>
        <v>Zadovoljena</v>
      </c>
    </row>
    <row r="22" spans="1:13" ht="45" customHeight="1">
      <c r="A22" s="204" t="str">
        <f t="shared" si="0"/>
        <v>Zadovoljena</v>
      </c>
      <c r="B22" s="211" t="s">
        <v>869</v>
      </c>
      <c r="C22" s="204" t="str">
        <f>IF(SUM(D22:N22)&gt;0,"NIJE zadovoljena","Zadovoljena")</f>
        <v>Zadovoljena</v>
      </c>
      <c r="D22" s="207">
        <f>IF(AND(OR(Tablica_A!C165="",Tablica_A!Q165=""),OR(Tablica_A!C165&lt;&gt;"",Tablica_A!Q165&lt;&gt;"",Tablica_A!M149&lt;&gt;"",Tablica_A!Q149&lt;&gt;"")),1,0)</f>
        <v>0</v>
      </c>
      <c r="E22" s="207">
        <f>IF(AND(OR(Tablica_A!C167="",Tablica_A!Q167=""),OR(Tablica_A!C167&lt;&gt;"",Tablica_A!Q167&lt;&gt;"",Tablica_A!M151&lt;&gt;"",Tablica_A!Q151&lt;&gt;"")),1,0)</f>
        <v>0</v>
      </c>
      <c r="F22" s="207">
        <f>IF(AND(OR(Tablica_A!C169="",Tablica_A!Q169=""),OR(Tablica_A!C169&lt;&gt;"",Tablica_A!Q169&lt;&gt;"",Tablica_A!M153&lt;&gt;"",Tablica_A!Q153&lt;&gt;"")),1,0)</f>
        <v>0</v>
      </c>
      <c r="G22" s="207">
        <f>IF(AND(OR(Tablica_A!C171="",Tablica_A!Q171=""),OR(Tablica_A!C171&lt;&gt;"",Tablica_A!Q171&lt;&gt;"",Tablica_A!M155&lt;&gt;"",Tablica_A!Q155&lt;&gt;"")),1,0)</f>
        <v>0</v>
      </c>
      <c r="H22" s="207">
        <f>IF(AND(OR(Tablica_A!C173="",Tablica_A!Q173=""),OR(Tablica_A!C173&lt;&gt;"",Tablica_A!Q173&lt;&gt;"",Tablica_A!M157&lt;&gt;"",Tablica_A!Q157&lt;&gt;"")),1,0)</f>
        <v>0</v>
      </c>
      <c r="I22" s="207">
        <f>IF(AND(Tablica_A!C167&lt;&gt;"",Tablica_A!C165=""),1,0)</f>
        <v>0</v>
      </c>
      <c r="J22" s="207">
        <f>IF(AND(Tablica_A!C169&lt;&gt;"",Tablica_A!C167=""),1,0)</f>
        <v>0</v>
      </c>
      <c r="K22" s="207">
        <f>IF(AND(Tablica_A!C171&lt;&gt;"",Tablica_A!C169=""),1,0)</f>
        <v>0</v>
      </c>
      <c r="L22" s="207">
        <f>IF(AND(Tablica_A!C173&lt;&gt;"",Tablica_A!C171=""),1,0)</f>
        <v>0</v>
      </c>
      <c r="M22" s="207"/>
    </row>
    <row r="23" spans="1:13" ht="45" customHeight="1">
      <c r="A23" s="204" t="str">
        <f t="shared" si="0"/>
        <v>Zadovoljena</v>
      </c>
      <c r="B23" s="211" t="s">
        <v>174</v>
      </c>
      <c r="C23" s="204" t="str">
        <f>IF(SUM(D23:F23)&gt;0,"NIJE zadovoljena","Zadovoljena")</f>
        <v>Zadovoljena</v>
      </c>
      <c r="D23" s="207">
        <f>IF(AND(OR(Tablica_A!G183&lt;&gt;"",Tablica_A!K183&lt;&gt;"",Tablica_A!G185&lt;&gt;"",Tablica_A!K185&lt;&gt;0),Tablica_A!K121=""),1,0)</f>
        <v>0</v>
      </c>
      <c r="E23" s="207">
        <f>IF(AND(OR(Tablica_A!O183&lt;&gt;"",Tablica_A!S183&lt;&gt;"",Tablica_A!O185&lt;&gt;"",Tablica_A!S185&lt;&gt;0),Tablica_A!U121=""),1,0)</f>
        <v>0</v>
      </c>
      <c r="F23" s="207">
        <f>IF(OR(Tablica_A!G183&gt;Tablica_A!K183,Tablica_A!G185&gt;Tablica_A!K185,Tablica_A!O183&gt;Tablica_A!S183,Tablica_A!O185&gt;Tablica_A!S185),1,0)</f>
        <v>0</v>
      </c>
      <c r="G23" s="207"/>
      <c r="H23" s="207"/>
      <c r="I23" s="207"/>
      <c r="J23" s="207"/>
      <c r="K23" s="207"/>
      <c r="L23" s="207"/>
      <c r="M23" s="207"/>
    </row>
    <row r="24" spans="1:13" ht="30" customHeight="1">
      <c r="A24" s="204" t="str">
        <f t="shared" si="0"/>
        <v>Zadovoljena</v>
      </c>
      <c r="B24" s="211" t="s">
        <v>870</v>
      </c>
      <c r="C24" s="204" t="str">
        <f>IF(OR(Tablica_A!G191="",Tablica_A!K191="",Tablica_A!O191="",Tablica_A!S191=""),"NIJE zadovoljena","Zadovoljena")</f>
        <v>Zadovoljena</v>
      </c>
      <c r="F24" s="207"/>
      <c r="G24" s="207"/>
      <c r="H24" s="207"/>
      <c r="I24" s="207"/>
      <c r="J24" s="207"/>
      <c r="K24" s="207"/>
      <c r="L24" s="207"/>
      <c r="M24" s="207"/>
    </row>
    <row r="25" spans="1:13" ht="45" customHeight="1">
      <c r="A25" s="204" t="str">
        <f t="shared" si="0"/>
        <v>Zadovoljena</v>
      </c>
      <c r="B25" s="211" t="s">
        <v>871</v>
      </c>
      <c r="C25" s="204" t="str">
        <f>IF(AND(OR(Tablica_A!C165&lt;&gt;"",Tablica_A!G183&lt;&gt;"",Tablica_A!K183&lt;&gt;"",Tablica_A!O183&lt;&gt;"",Tablica_A!S183&lt;&gt;"",Tablica_A!G185&lt;&gt;"",Tablica_A!K185&lt;&gt;"",Tablica_A!O185&lt;&gt;""),Tablica_A!S193=""),"NIJE zadovoljena","Zadovoljena")</f>
        <v>Zadovoljena</v>
      </c>
      <c r="F25" s="207"/>
      <c r="G25" s="207"/>
      <c r="H25" s="207"/>
      <c r="I25" s="207"/>
      <c r="J25" s="207"/>
      <c r="K25" s="207"/>
      <c r="L25" s="207"/>
      <c r="M25" s="207"/>
    </row>
    <row r="26" spans="1:13" ht="45" customHeight="1">
      <c r="A26" s="204" t="str">
        <f t="shared" si="0"/>
        <v>Zadovoljena</v>
      </c>
      <c r="B26" s="211" t="s">
        <v>176</v>
      </c>
      <c r="C26" s="204" t="str">
        <f>IF(OR(Fintab!G8&lt;&gt;Fintab!G30,Fintab!I8&lt;&gt;Fintab!I30),"NIJE zadovoljena","Zadovoljena")</f>
        <v>Zadovoljena</v>
      </c>
      <c r="F26" s="207"/>
      <c r="G26" s="207"/>
      <c r="H26" s="207"/>
      <c r="I26" s="207"/>
      <c r="J26" s="207"/>
      <c r="K26" s="207"/>
      <c r="L26" s="207"/>
      <c r="M26" s="207"/>
    </row>
    <row r="27" spans="1:13" ht="45" customHeight="1">
      <c r="A27" s="204" t="str">
        <f t="shared" si="0"/>
        <v>Zadovoljena</v>
      </c>
      <c r="B27" s="211" t="s">
        <v>177</v>
      </c>
      <c r="C27" s="204" t="str">
        <f>IF(OR(Tablica_F!A8="",Tablica_F!A10="",Tablica_F!A12="",Tablica_F!A14="",Tablica_F!A16="",Tablica_F!A18="",Tablica_F!A20="",Tablica_F!A22="",Tablica_F!A24="",Tablica_F!A26="",Tablica_F!A28="",Tablica_F!A30="",Tablica_F!A32="",Tablica_F!A34=""),"NIJE zadovoljena","Zadovoljena")</f>
        <v>Zadovoljena</v>
      </c>
      <c r="F27" s="207"/>
      <c r="G27" s="207"/>
      <c r="H27" s="207"/>
      <c r="I27" s="207"/>
      <c r="J27" s="207"/>
      <c r="K27" s="207"/>
      <c r="L27" s="207"/>
      <c r="M27" s="207"/>
    </row>
    <row r="28" spans="1:13" ht="45" customHeight="1">
      <c r="A28" s="204" t="str">
        <f t="shared" si="0"/>
        <v>Zadovoljena</v>
      </c>
      <c r="B28" s="211" t="s">
        <v>873</v>
      </c>
      <c r="C28" s="204" t="str">
        <f>IF(AND(RIGHT(Tablica_A!G7,2)="03",SUM(D28:N28)&gt;0),"NIJE zadovoljena","Zadovoljena")</f>
        <v>Zadovoljena</v>
      </c>
      <c r="D28" s="207">
        <f>IF(OR(Fintab!G45&lt;&gt;Fintab!H45,Fintab!G46&lt;&gt;Fintab!H46,Fintab!G47&lt;&gt;Fintab!H47,Fintab!G48&lt;&gt;Fintab!H48,Fintab!I45&lt;&gt;Fintab!J45,Fintab!I46&lt;&gt;Fintab!J46,Fintab!I47&lt;&gt;Fintab!J47,Fintab!I48&lt;&gt;Fintab!J48),1,0)</f>
        <v>1</v>
      </c>
      <c r="E28" s="207">
        <f>IF(OR(Fintab!G49&lt;&gt;Fintab!H49,Fintab!G50&lt;&gt;Fintab!H50,Fintab!G51&lt;&gt;Fintab!H51,Fintab!G52&lt;&gt;Fintab!H52,Fintab!I49&lt;&gt;Fintab!J49,Fintab!I50&lt;&gt;Fintab!J50,Fintab!I51&lt;&gt;Fintab!J51,Fintab!I52&lt;&gt;Fintab!J52),1,0)</f>
        <v>1</v>
      </c>
      <c r="F28" s="207">
        <f>IF(OR(Fintab!G53&lt;&gt;Fintab!H53,Fintab!G54&lt;&gt;Fintab!H54,Fintab!G55&lt;&gt;Fintab!H55,Fintab!G56&lt;&gt;Fintab!H56,Fintab!I53&lt;&gt;Fintab!J53,Fintab!I54&lt;&gt;Fintab!J54,Fintab!I55&lt;&gt;Fintab!J55,Fintab!I56&lt;&gt;Fintab!J56),1,0)</f>
        <v>1</v>
      </c>
      <c r="G28" s="207">
        <f>IF(OR(Fintab!G57&lt;&gt;Fintab!H57,Fintab!G58&lt;&gt;Fintab!H58,Fintab!G59&lt;&gt;Fintab!H59,Fintab!G60&lt;&gt;Fintab!H60,Fintab!I57&lt;&gt;Fintab!J57,Fintab!I58&lt;&gt;Fintab!J58,Fintab!I59&lt;&gt;Fintab!J59,Fintab!I60&lt;&gt;Fintab!J60),1,0)</f>
        <v>1</v>
      </c>
      <c r="H28" s="207">
        <f>IF(OR(Fintab!G61&lt;&gt;Fintab!H61,Fintab!G62&lt;&gt;Fintab!H62,Fintab!G63&lt;&gt;Fintab!H63,Fintab!G64&lt;&gt;Fintab!H64,Fintab!I61&lt;&gt;Fintab!J61,Fintab!I62&lt;&gt;Fintab!J62,Fintab!I63&lt;&gt;Fintab!J63,Fintab!I64&lt;&gt;Fintab!J64),1,0)</f>
        <v>1</v>
      </c>
      <c r="I28" s="207">
        <f>IF(OR(Fintab!G65&lt;&gt;Fintab!H65,Fintab!G66&lt;&gt;Fintab!H66,Fintab!G67&lt;&gt;Fintab!H67,Fintab!G68&lt;&gt;Fintab!H68,Fintab!I65&lt;&gt;Fintab!J65,Fintab!I66&lt;&gt;Fintab!J66,Fintab!I67&lt;&gt;Fintab!J67,Fintab!I68&lt;&gt;Fintab!J68),1,0)</f>
        <v>1</v>
      </c>
      <c r="J28" s="207">
        <f>IF(OR(Fintab!G69&lt;&gt;Fintab!H69,Fintab!G70&lt;&gt;Fintab!H70,Fintab!G71&lt;&gt;Fintab!H71,Fintab!I69&lt;&gt;Fintab!J69,Fintab!I70&lt;&gt;Fintab!J70,Fintab!I71&lt;&gt;Fintab!J71),1,0)</f>
        <v>1</v>
      </c>
      <c r="K28" s="207"/>
      <c r="L28" s="207"/>
      <c r="M28" s="207"/>
    </row>
    <row r="29" spans="11:15" ht="3" customHeight="1">
      <c r="K29" s="207"/>
      <c r="O29" s="207"/>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2007-08-01T11:29:02Z</cp:lastPrinted>
  <dcterms:created xsi:type="dcterms:W3CDTF">2003-11-03T18:41:47Z</dcterms:created>
  <dcterms:modified xsi:type="dcterms:W3CDTF">2007-04-11T08:42:25Z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